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4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EIA-ME" sheetId="1" state="visible" r:id="rId3"/>
    <sheet name="CONFIG_CCT" sheetId="2" state="hidden" r:id="rId4"/>
    <sheet name="INPUTS" sheetId="3" state="visible" r:id="rId5"/>
    <sheet name="RESULTADO FINAL" sheetId="4" state="visible" r:id="rId6"/>
    <sheet name="MEMÓRIA DE CÁLCULO" sheetId="5" state="hidden" r:id="rId7"/>
    <sheet name="MOTOR_CALCULO" sheetId="6" state="hidden" r:id="rId8"/>
  </sheets>
  <definedNames>
    <definedName function="false" hidden="false" localSheetId="1" name="_xlnm.Print_Area" vbProcedure="false">CONFIG_CCT!$A$1:$C$27</definedName>
    <definedName function="false" hidden="false" localSheetId="2" name="_xlnm.Print_Area" vbProcedure="false">INPUTS!$A$1:$C$49</definedName>
    <definedName function="false" hidden="false" localSheetId="0" name="_xlnm.Print_Area" vbProcedure="false">'LEIA-ME'!$A$1:$C$63</definedName>
    <definedName function="false" hidden="false" localSheetId="4" name="_xlnm.Print_Area" vbProcedure="false">'MEMÓRIA DE CÁLCULO'!$A$1:$C$59</definedName>
    <definedName function="false" hidden="false" localSheetId="5" name="_xlnm.Print_Area" vbProcedure="false">MOTOR_CALCULO!$A$1:$C$106</definedName>
    <definedName function="false" hidden="false" localSheetId="3" name="_xlnm.Print_Area" vbProcedure="false">'RESULTADO FINAL'!$A$1:$E$56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<sst xmlns="http://schemas.openxmlformats.org/spreadsheetml/2006/main" count="414" uniqueCount="338">
  <si>
    <t xml:space="preserve">📘  GUIA RÁPIDO — CALCULADORA DE RESCISÃO CLT 2026 LITE (GRATUITA)</t>
  </si>
  <si>
    <t xml:space="preserve">Feita para quem NÃO é especialista. Siga os 4 passos abaixo — 2 minutos de leitura.</t>
  </si>
  <si>
    <t xml:space="preserve">🎯  COMO USAR — 4 PASSOS</t>
  </si>
  <si>
    <t xml:space="preserve">PASSO 1 — CCT: abra a aba ⚙️ CONFIG_CCT. Sua empresa tem Convenção Coletiva? Preencha SÓ o que ela prevê. Não tem ou não sabe? DEIXE TUDO EM BRANCO: a planilha aplica a CLT padrão 2026 automaticamente.</t>
  </si>
  <si>
    <t xml:space="preserve">PASSO 2 — DADOS: na aba INPUTS, preencha apenas as células com borda azul (salário, datas, tipo de desligamento, adicionais). As demais células estão protegidas para você não apagar fórmulas sem querer.</t>
  </si>
  <si>
    <t xml:space="preserve">PASSO 3 — ALERTAS: no fim da aba INPUTS, leia os ALERTAS AUTOMÁTICOS. Corrija tudo que aparecer com ⚠️ ou 🚫 antes de usar o resultado. Células em VERMELHO indicam erro de digitação (ex.: desligamento antes da admissão).</t>
  </si>
  <si>
    <t xml:space="preserve">PASSO 4 — RESULTADO: confira a aba RESULTADO FINAL (pronta para imprimir ou exportar em PDF) e audite cada verba na MEMÓRIA DE CÁLCULO, que mostra a conta feita e o fundamento legal de cada linha.</t>
  </si>
  <si>
    <t xml:space="preserve">📋  DESCRIÇÃO DAS ABAS</t>
  </si>
  <si>
    <t xml:space="preserve">▶ LEIA-ME — Guia de uso (esta aba).</t>
  </si>
  <si>
    <t xml:space="preserve">▶ ⚙️ CONFIG_CCT — Regras da sua Convenção Coletiva (opcional; em branco = CLT padrão).</t>
  </si>
  <si>
    <t xml:space="preserve">▶ INPUTS — Dados do funcionário e do desligamento. Edite APENAS aqui e na CONFIG_CCT.</t>
  </si>
  <si>
    <t xml:space="preserve">▶ RESULTADO FINAL — Resumo com verbas, deduções, FGTS, multa e indenizações de CCT.</t>
  </si>
  <si>
    <t xml:space="preserve">▶ MEMÓRIA DE CÁLCULO — Auditoria de cada verba com fundamento legal (RH e jurídico).</t>
  </si>
  <si>
    <t xml:space="preserve">▶ MOTOR_CALCULO — Motor interno de cálculo, protegido por senha. NÃO editar.</t>
  </si>
  <si>
    <t xml:space="preserve">⚖  FUNDAMENTOS LEGAIS 2026</t>
  </si>
  <si>
    <t xml:space="preserve">• CLT (Decreto-Lei 5.452/43) — base de toda rescisão trabalhista.</t>
  </si>
  <si>
    <t xml:space="preserve">• Lei 12.506/2011 — aviso prévio proporcional: 30 dias + 3 dias/ano, máx. 90 dias.</t>
  </si>
  <si>
    <t xml:space="preserve">• Lei 15.270/2025 — IRRF 2026: isenção até R$ 5.000 e redutor até R$ 7.350 (vale também para o 13º).</t>
  </si>
  <si>
    <t xml:space="preserve">• Portaria Interministerial MPS/MF 13/2026 — tabela INSS progressiva 2026 (teto R$ 8.475,55).</t>
  </si>
  <si>
    <t xml:space="preserve">• Decreto 12.797/2025 — salário mínimo 2026: R$ 1.621,00.</t>
  </si>
  <si>
    <t xml:space="preserve">• Súmula Vinculante 4 STF + OJ 47 SDI-1/TST — insalubridade: base de cálculo e integrações.</t>
  </si>
  <si>
    <t xml:space="preserve">• Súmulas 125 e 386 STJ — férias indenizadas isentas de INSS e IRRF.</t>
  </si>
  <si>
    <t xml:space="preserve">• Súmula 371 TST + OJ 195 SDI-1/TST — projeção do aviso indenizado e FGTS sobre o aviso.</t>
  </si>
  <si>
    <t xml:space="preserve">• Art. 484-A CLT — rescisão consensual: metade do aviso indenizado e 20% da multa do FGTS.</t>
  </si>
  <si>
    <t xml:space="preserve">• Súmula 396 TST e Art. 477, §8º CLT — indenização de estabilidade e multa por atraso no pagamento.</t>
  </si>
  <si>
    <t xml:space="preserve">🦺  ADICIONAIS DE RISCO — ATENÇÃO</t>
  </si>
  <si>
    <t xml:space="preserve">PERICULOSIDADE (Art. 193 CLT): 30% sobre o SALÁRIO BASE — tem natureza salarial.</t>
  </si>
  <si>
    <t xml:space="preserve">→ Integra 13º, férias, aviso, FGTS, horas extras e adicional noturno.</t>
  </si>
  <si>
    <t xml:space="preserve">→ Pode ser ajustada via CCT/ACT. Informe o % correto no campo da aba INPUTS.</t>
  </si>
  <si>
    <t xml:space="preserve">INSALUBRIDADE (Art. 192 CLT / NR-15): 10%, 20% ou 40% sobre o SALÁRIO MÍNIMO.</t>
  </si>
  <si>
    <t xml:space="preserve">→ Base = salário mínimo nacional (SV 4 STF), NÃO o salário do funcionário.</t>
  </si>
  <si>
    <t xml:space="preserve">→ Também integra 13º, férias e FGTS (OJ 47 SDI-1/TST).</t>
  </si>
  <si>
    <t xml:space="preserve">CUMULAÇÃO: em regra vedada pela mesma exposição (Art. 193, §2º CLT). Há decisões que admitem para riscos distintos com suporte em CCT ou laudo pericial.</t>
  </si>
  <si>
    <t xml:space="preserve">⏱  BANCO DE HORAS E HORAS EXTRAS</t>
  </si>
  <si>
    <t xml:space="preserve">• Informe o saldo em horas: positivo = empresa paga; negativo = desconto.</t>
  </si>
  <si>
    <t xml:space="preserve">• Adicional mínimo legal: 50% (Art. 59 CLT). CCT pode prever 70%, 75% ou 100%.</t>
  </si>
  <si>
    <t xml:space="preserve">• Saldo negativo: descontado pelo valor simples (sem adicional, pois é débito do empregado).</t>
  </si>
  <si>
    <t xml:space="preserve">📌  PLR E BÔNUS</t>
  </si>
  <si>
    <t xml:space="preserve">• PLR (Participação nos Lucros) tem tributação EXCLUSIVA própria (Lei 10.101/2000).</t>
  </si>
  <si>
    <t xml:space="preserve">• Use 'Outras verbas a receber' somente para verbas que integrem a remuneração comum.</t>
  </si>
  <si>
    <t xml:space="preserve">• Para PLR, consulte contador especializado em folha de pagamento.</t>
  </si>
  <si>
    <t xml:space="preserve">⚠  AVISO LEGAL</t>
  </si>
  <si>
    <t xml:space="preserve">Esta planilha é uma ferramenta de apoio profissional para RH, DP e escritórios trabalhistas.</t>
  </si>
  <si>
    <t xml:space="preserve">Os cálculos seguem a legislação vigente em 2026. A legislação pode ser alterada a qualquer tempo.</t>
  </si>
  <si>
    <t xml:space="preserve">Valide sempre os resultados com um profissional habilitado antes de efetuar pagamentos.</t>
  </si>
  <si>
    <t xml:space="preserve">O desenvolvedor não se responsabiliza por decisões tomadas exclusivamente com base nesta planilha.</t>
  </si>
  <si>
    <t xml:space="preserve">🚀 VERSÃO LITE: cobre desligamento SEM JUSTA CAUSA e PEDIDO DE DEMISSÃO, sem CCT e sem adicionais de risco.</t>
  </si>
  <si>
    <t xml:space="preserve">⭐ A versão PREMIUM inclui: CCT configurável, justa causa, rescisão consensual (484-A), insalubridade/periculosidade,</t>
  </si>
  <si>
    <t xml:space="preserve">memória de cálculo com fundamento legal (auditoria) e todos os tipos de desligamento.</t>
  </si>
  <si>
    <t xml:space="preserve">👉 GARANTA A PREMIUM COM PREÇO DE LANÇAMENTO: https://pay.kiwify.com.br/VbaT48T</t>
  </si>
  <si>
    <t xml:space="preserve">Calculadora de Rescisão CLT 2026 PREMIUM | 100% parametrizável por CCT | RH, Departamento Pessoal e Escritórios Trabalhistas</t>
  </si>
  <si>
    <t xml:space="preserve">⚙️  CONFIGURAÇÃO DE CCT / ACORDO COLETIVO (OPCIONAL)</t>
  </si>
  <si>
    <t xml:space="preserve">Preencha SOMENTE o que a sua Convenção Coletiva prevê. Campos em branco = regra padrão da CLT e tabelas 2026 aplicadas automaticamente.</t>
  </si>
  <si>
    <t xml:space="preserve">⏱  BLOCO 1 — ADICIONAIS</t>
  </si>
  <si>
    <t xml:space="preserve">% adicional de horas extras da CCT</t>
  </si>
  <si>
    <t xml:space="preserve">Em branco → usa o % dos INPUTS (mínimo legal 50%). Ex.: 70%, 100%.</t>
  </si>
  <si>
    <t xml:space="preserve">% adicional noturno da CCT</t>
  </si>
  <si>
    <t xml:space="preserve">Em branco → 20% legal (Art. 73 CLT). Campo informativo p/ conferência da média informada.</t>
  </si>
  <si>
    <t xml:space="preserve">Aplicar reflexo do DSR (1/6) sobre médias de HE e ad. noturno?</t>
  </si>
  <si>
    <t xml:space="preserve">Não</t>
  </si>
  <si>
    <t xml:space="preserve">Sim = acresce 1/6 às médias (Súmula 172 TST). Use apenas se as médias informadas NÃO incluem DSR.</t>
  </si>
  <si>
    <t xml:space="preserve">🦺  BLOCO 2 — SAÚDE / INSALUBRIDADE</t>
  </si>
  <si>
    <t xml:space="preserve">Base de cálculo da insalubridade</t>
  </si>
  <si>
    <t xml:space="preserve">Salário Mínimo Nacional</t>
  </si>
  <si>
    <t xml:space="preserve">Padrão: Salário Mínimo Nacional (SV 4 STF). Selecione "Piso da CCT" somente se a norma coletiva determinar.</t>
  </si>
  <si>
    <t xml:space="preserve">Piso salarial da CCT (R$)</t>
  </si>
  <si>
    <t xml:space="preserve">Usado somente se a base acima for "Piso da CCT". Em branco → salário mínimo dos INPUTS.</t>
  </si>
  <si>
    <t xml:space="preserve">🛡  BLOCO 3 — PROTEÇÃO / ESTABILIDADE</t>
  </si>
  <si>
    <t xml:space="preserve">Indenizar período de estabilidade?</t>
  </si>
  <si>
    <t xml:space="preserve">Sim = converte a estabilidade em indenização substitutiva (Súmula 396 TST).</t>
  </si>
  <si>
    <t xml:space="preserve">Tipo de estabilidade</t>
  </si>
  <si>
    <t xml:space="preserve">Nenhuma</t>
  </si>
  <si>
    <t xml:space="preserve">Gestante (Art. 10 ADCT), acidente (Art. 118 Lei 8.213/91), CIPA, pré-aposentadoria ou outra da CCT.</t>
  </si>
  <si>
    <t xml:space="preserve">Meses restantes de estabilidade</t>
  </si>
  <si>
    <t xml:space="preserve">Indenização = meses restantes × remuneração integrada. Em branco → 0.</t>
  </si>
  <si>
    <t xml:space="preserve">⚖  BLOCO 4 — PENALIDADES</t>
  </si>
  <si>
    <t xml:space="preserve">Aplicar multa do Art. 477, §8º CLT (atraso no pagamento)?</t>
  </si>
  <si>
    <t xml:space="preserve">Sim = 1 salário base devido ao empregado se o pagamento ultrapassar 10 dias do desligamento.</t>
  </si>
  <si>
    <t xml:space="preserve">Multa por atraso na homologação prevista na CCT (R$)</t>
  </si>
  <si>
    <t xml:space="preserve">Valor fixo previsto na norma coletiva. Em branco → R$ 0.</t>
  </si>
  <si>
    <t xml:space="preserve">Cláusula penal da CCT (R$)</t>
  </si>
  <si>
    <t xml:space="preserve">Penalidade por descumprimento de cláusula da CCT. Em branco → R$ 0.</t>
  </si>
  <si>
    <t xml:space="preserve">🍽  BLOCO 5 — BENEFÍCIOS RESCISÓRIOS</t>
  </si>
  <si>
    <t xml:space="preserve">Vale-alimentação/refeição mensal a indenizar no aviso (R$)</t>
  </si>
  <si>
    <t xml:space="preserve">Indenizado proporcionalmente aos dias de aviso prévio indenizado. Em branco → R$ 0.</t>
  </si>
  <si>
    <t xml:space="preserve">Plano de saúde mensal a indenizar no aviso (R$)</t>
  </si>
  <si>
    <t xml:space="preserve">Idem acima, conforme previsão da CCT. Em branco → R$ 0.</t>
  </si>
  <si>
    <t xml:space="preserve">⚖ Em caso de dúvida sobre a sua CCT, consulte o sindicato da categoria ou o Mediador (MTE). Campos em branco nunca geram erro: o padrão legal assume automaticamente.</t>
  </si>
  <si>
    <t xml:space="preserve">⚙  CALCULADORA DE RESCISÃO CLT 2026 — VERSÃO LITE (GRATUITA)</t>
  </si>
  <si>
    <t xml:space="preserve">Preencha apenas os campos com borda azul. Resultados nas abas RESULTADO FINAL e MEMÓRIA DE CÁLCULO.</t>
  </si>
  <si>
    <t xml:space="preserve">👤  DADOS DO FUNCIONÁRIO</t>
  </si>
  <si>
    <t xml:space="preserve">Nome do funcionário</t>
  </si>
  <si>
    <t xml:space="preserve">Funcionário Exemplo</t>
  </si>
  <si>
    <t xml:space="preserve">Nome conforme CTPS</t>
  </si>
  <si>
    <t xml:space="preserve">Cargo / Função</t>
  </si>
  <si>
    <t xml:space="preserve">Analista</t>
  </si>
  <si>
    <t xml:space="preserve">Cargo registrado em contrato</t>
  </si>
  <si>
    <t xml:space="preserve">Salário base (R$)</t>
  </si>
  <si>
    <t xml:space="preserve">Salário bruto mensal (sem adicionais)</t>
  </si>
  <si>
    <t xml:space="preserve">Data de admissão</t>
  </si>
  <si>
    <t xml:space="preserve">DD/MM/AAAA</t>
  </si>
  <si>
    <t xml:space="preserve">Data de desligamento</t>
  </si>
  <si>
    <t xml:space="preserve">📋  TIPO DE DESLIGAMENTO E AVISO PRÉVIO</t>
  </si>
  <si>
    <t xml:space="preserve">Tipo de desligamento</t>
  </si>
  <si>
    <t xml:space="preserve">Sem justa causa</t>
  </si>
  <si>
    <t xml:space="preserve">Selecione na lista ▼</t>
  </si>
  <si>
    <t xml:space="preserve">Aviso prévio</t>
  </si>
  <si>
    <t xml:space="preserve">Indenizado</t>
  </si>
  <si>
    <t xml:space="preserve">🦺  ADICIONAIS DE RISCO — PERICULOSIDADE E INSALUBRIDADE</t>
  </si>
  <si>
    <t xml:space="preserve">Recebe periculosidade?</t>
  </si>
  <si>
    <t xml:space="preserve">Atividade com exposição a risco (Art. 193 CLT)</t>
  </si>
  <si>
    <t xml:space="preserve">% Periculosidade s/ salário base</t>
  </si>
  <si>
    <t xml:space="preserve">Padrão legal: 30%. Ajuste se CCT/ACT diferente.</t>
  </si>
  <si>
    <t xml:space="preserve">% mês em exposição (periculosidade)</t>
  </si>
  <si>
    <t xml:space="preserve">1,0 = mês todo exposto. Proporcionalize se parcial.</t>
  </si>
  <si>
    <t xml:space="preserve">Grau de insalubridade</t>
  </si>
  <si>
    <t xml:space="preserve">Nenhum</t>
  </si>
  <si>
    <t xml:space="preserve">Mínimo 10%, Médio 20%, Máximo 40% — NR-15/Art. 192 CLT</t>
  </si>
  <si>
    <t xml:space="preserve">Salário mínimo nacional (base insalubridade)</t>
  </si>
  <si>
    <t xml:space="preserve">Valor oficial 2026. Ajuste se CCT usar outra base.</t>
  </si>
  <si>
    <t xml:space="preserve">% mês em exposição (insalubridade)</t>
  </si>
  <si>
    <t xml:space="preserve">1,0 = mês todo exposto.</t>
  </si>
  <si>
    <t xml:space="preserve">⏱  HORAS EXTRAS, BANCO DE HORAS E COMISSÕES</t>
  </si>
  <si>
    <t xml:space="preserve">Média HE habituais mensais (R$)</t>
  </si>
  <si>
    <t xml:space="preserve">Média dos últimos 12 meses — integra 13º e férias</t>
  </si>
  <si>
    <t xml:space="preserve">Média comissões habituais (R$)</t>
  </si>
  <si>
    <t xml:space="preserve">Média dos últimos 12 meses</t>
  </si>
  <si>
    <t xml:space="preserve">Média adicional noturno habitual (R$)</t>
  </si>
  <si>
    <t xml:space="preserve">Média mensal dos últimos 12 meses. Integra 13º, férias e FGTS (Art. 73 + Súmula 60 TST).</t>
  </si>
  <si>
    <t xml:space="preserve">Mês de referência da rescisão (MM/AAAA)</t>
  </si>
  <si>
    <t xml:space="preserve">05/2026</t>
  </si>
  <si>
    <t xml:space="preserve">Referência para o TRCT (Termo de Rescisão). Apenas informativo.</t>
  </si>
  <si>
    <t xml:space="preserve">Banco de horas a liquidar (h)</t>
  </si>
  <si>
    <t xml:space="preserve">(+) empresa paga / (−) desconto do funcionário</t>
  </si>
  <si>
    <t xml:space="preserve">% adicional sobre a hora</t>
  </si>
  <si>
    <t xml:space="preserve">Mínimo legal: 50% (Art. 59, §1º CLT). Comum em CCT: 70%, 75%, 100%.</t>
  </si>
  <si>
    <t xml:space="preserve">💰  FÉRIAS, FGTS E DEDUÇÕES</t>
  </si>
  <si>
    <t xml:space="preserve">Férias vencidas (períodos completos)</t>
  </si>
  <si>
    <t xml:space="preserve">Períodos aquisitivos completos e não gozados (Art. 137 CLT)</t>
  </si>
  <si>
    <t xml:space="preserve">Dependentes IRRF (qtd.)</t>
  </si>
  <si>
    <t xml:space="preserve">Nº de dependentes declarados para IRRF</t>
  </si>
  <si>
    <t xml:space="preserve">Saldo FGTS acumulado (R$)</t>
  </si>
  <si>
    <t xml:space="preserve">Total depositado — extrato da conta vinculada</t>
  </si>
  <si>
    <t xml:space="preserve">Desconto VT (R$)</t>
  </si>
  <si>
    <t xml:space="preserve">Vale-transporte a descontar no mês da rescisão</t>
  </si>
  <si>
    <t xml:space="preserve">Outros descontos (R$)</t>
  </si>
  <si>
    <t xml:space="preserve">Adiantamentos, empréstimos, pensão, etc.</t>
  </si>
  <si>
    <t xml:space="preserve">Outras verbas a receber (R$)</t>
  </si>
  <si>
    <t xml:space="preserve">Valores que integrem a remuneração (exceto PLR — ver LEIA-ME)</t>
  </si>
  <si>
    <t xml:space="preserve">Férias vencidas em dobro?</t>
  </si>
  <si>
    <t xml:space="preserve">Sim</t>
  </si>
  <si>
    <t xml:space="preserve">Sim = período concessivo vencido → dobro (Art. 137 CLT). Não = pagamento simples + 1/3.</t>
  </si>
  <si>
    <t xml:space="preserve">🔔  ALERTAS AUTOMÁTICOS</t>
  </si>
  <si>
    <t xml:space="preserve">Datas</t>
  </si>
  <si>
    <t xml:space="preserve">Multa FGTS</t>
  </si>
  <si>
    <t xml:space="preserve">Férias vencidas</t>
  </si>
  <si>
    <t xml:space="preserve">Banco de horas</t>
  </si>
  <si>
    <t xml:space="preserve">Cumulação de riscos</t>
  </si>
  <si>
    <t xml:space="preserve">% hora extra</t>
  </si>
  <si>
    <t xml:space="preserve">Justa causa</t>
  </si>
  <si>
    <t xml:space="preserve">CCT</t>
  </si>
  <si>
    <t xml:space="preserve">⚖ Baseada na CLT, Lei 12.506/2011, Lei 15.270/2025 e tabelas INSS/IRRF 2026. Ferramenta de apoio — não substitui análise profissional de RH ou advogado trabalhista.</t>
  </si>
  <si>
    <t xml:space="preserve">📊  RESULTADO DA RESCISÃO — VERSÃO LITE</t>
  </si>
  <si>
    <t xml:space="preserve">BRUTO A RECEBER</t>
  </si>
  <si>
    <t xml:space="preserve">TOTAL DESCONTOS</t>
  </si>
  <si>
    <t xml:space="preserve">LÍQUIDO RESCISÃO</t>
  </si>
  <si>
    <t xml:space="preserve">💰  MULTA DO FGTS — depositada na conta FGTS do trabalhador (não integra o líquido acima)</t>
  </si>
  <si>
    <t xml:space="preserve">📋  VERBAS BRUTAS</t>
  </si>
  <si>
    <t xml:space="preserve">📋  DEDUÇÕES</t>
  </si>
  <si>
    <t xml:space="preserve">Saldo de salário</t>
  </si>
  <si>
    <t xml:space="preserve">INSS (saldo de salário)</t>
  </si>
  <si>
    <t xml:space="preserve">Aviso prévio indenizado</t>
  </si>
  <si>
    <t xml:space="preserve">INSS (13º proporcional)</t>
  </si>
  <si>
    <t xml:space="preserve">13º proporcional</t>
  </si>
  <si>
    <t xml:space="preserve">IRRF (saldo de salário)</t>
  </si>
  <si>
    <t xml:space="preserve">Férias vencidas + 1/3</t>
  </si>
  <si>
    <t xml:space="preserve">IRRF (13º proporcional)</t>
  </si>
  <si>
    <t xml:space="preserve">Férias proporcionais + 1/3</t>
  </si>
  <si>
    <t xml:space="preserve">Desc. aviso (pedido dem.)</t>
  </si>
  <si>
    <t xml:space="preserve">Banco de horas (crédito)</t>
  </si>
  <si>
    <t xml:space="preserve">Banco de horas (débito)</t>
  </si>
  <si>
    <t xml:space="preserve">Outras verbas</t>
  </si>
  <si>
    <t xml:space="preserve">Desconto VT</t>
  </si>
  <si>
    <t xml:space="preserve">Indenizações CCT (estab., multas, VA/VR)</t>
  </si>
  <si>
    <t xml:space="preserve">Outros descontos</t>
  </si>
  <si>
    <t xml:space="preserve">TOTAL BRUTO</t>
  </si>
  <si>
    <t xml:space="preserve">🦺  ADICIONAIS DE RISCO (referência mensal)</t>
  </si>
  <si>
    <t xml:space="preserve">Periculosidade integrada mensal</t>
  </si>
  <si>
    <t xml:space="preserve">Insalubridade integrada mensal</t>
  </si>
  <si>
    <t xml:space="preserve">🏦  FGTS DESTA RESCISÃO</t>
  </si>
  <si>
    <t xml:space="preserve">FGTS s/ saldo de salário (8%)</t>
  </si>
  <si>
    <t xml:space="preserve">FGTS s/ aviso indenizado (8%)</t>
  </si>
  <si>
    <t xml:space="preserve">FGTS s/ 13º proporcional (8%)</t>
  </si>
  <si>
    <t xml:space="preserve">Total FGTS gerado nesta rescisão</t>
  </si>
  <si>
    <t xml:space="preserve">% Multa FGTS aplicada</t>
  </si>
  <si>
    <t xml:space="preserve">Base de cálculo da multa</t>
  </si>
  <si>
    <t xml:space="preserve">Multa FGTS (a depositar na conta FGTS)</t>
  </si>
  <si>
    <t xml:space="preserve">💵  VALOR LÍQUIDO TOTAL A RECEBER</t>
  </si>
  <si>
    <t xml:space="preserve">🔍  DETALHES TÉCNICOS DO CÁLCULO (para auditoria)</t>
  </si>
  <si>
    <t xml:space="preserve">Anos de serviço (data desligamento)</t>
  </si>
  <si>
    <t xml:space="preserve">Dias de aviso prévio (Lei 12.506/2011)</t>
  </si>
  <si>
    <t xml:space="preserve">Data projetada (fim aviso)</t>
  </si>
  <si>
    <t xml:space="preserve">Avos de férias proporcionais</t>
  </si>
  <si>
    <t xml:space="preserve">Avos de 13º proporcional</t>
  </si>
  <si>
    <t xml:space="preserve">Remuneração integrada (base de cálculo)</t>
  </si>
  <si>
    <t xml:space="preserve">Valor da hora (rem. integrada ÷ 220)</t>
  </si>
  <si>
    <t xml:space="preserve">INSS máximo 2026 (teto: R$8.475,55)</t>
  </si>
  <si>
    <t xml:space="preserve">📌  INCIDÊNCIA TRIBUTÁRIA POR VERBA (referência jurídica)</t>
  </si>
  <si>
    <t xml:space="preserve">VERBA</t>
  </si>
  <si>
    <t xml:space="preserve">INSS</t>
  </si>
  <si>
    <t xml:space="preserve">IRRF</t>
  </si>
  <si>
    <t xml:space="preserve">FGTS 8%</t>
  </si>
  <si>
    <t xml:space="preserve">FUNDAMENTO</t>
  </si>
  <si>
    <t xml:space="preserve">✅</t>
  </si>
  <si>
    <t xml:space="preserve">Art. 457 CLT — integra todas as contribuições</t>
  </si>
  <si>
    <t xml:space="preserve">❌</t>
  </si>
  <si>
    <t xml:space="preserve">Lei 7.713/88, art. 6º, V — isento INSS/IRRF; FGTS incide (OJ 195 SDI-1/TST)</t>
  </si>
  <si>
    <t xml:space="preserve">Lei 4.090/62 — apuração de INSS e IRRF isolada (tributação exclusiva)</t>
  </si>
  <si>
    <t xml:space="preserve">Súmulas 125 e 386 STJ — natureza indenizatória</t>
  </si>
  <si>
    <t xml:space="preserve">Súmula 386 STJ — natureza indenizatória</t>
  </si>
  <si>
    <t xml:space="preserve">Multa FGTS (40%/20%)</t>
  </si>
  <si>
    <t xml:space="preserve">—</t>
  </si>
  <si>
    <t xml:space="preserve">Art. 18 Lei 8.036/90 — verba indenizatória</t>
  </si>
  <si>
    <t xml:space="preserve">Periculosidade (salarial)</t>
  </si>
  <si>
    <t xml:space="preserve">Art. 193 CLT — natureza salarial</t>
  </si>
  <si>
    <t xml:space="preserve">Insalubridade (salarial)</t>
  </si>
  <si>
    <t xml:space="preserve">SV 4 STF + OJ 47 SDI-1/TST — base: salário mínimo</t>
  </si>
  <si>
    <t xml:space="preserve">Indenizações CCT / Multa Art. 477</t>
  </si>
  <si>
    <t xml:space="preserve">Súmula 396 TST / Art. 477, §8º CLT / norma coletiva — natureza indenizatória</t>
  </si>
  <si>
    <t xml:space="preserve">⚖ Ferramenta de apoio — não substitui análise profissional de RH ou advogado trabalhista.</t>
  </si>
  <si>
    <t xml:space="preserve">⭐ Precisa de CCT, consensual (484-A), adicionais de risco e memória de cálculo auditável? Conheça a PREMIUM:</t>
  </si>
  <si>
    <t xml:space="preserve">https://pay.kiwify.com.br/VbaT48T</t>
  </si>
  <si>
    <t xml:space="preserve">📋  MEMÓRIA DE CÁLCULO — AUDITORIA JURÍDICA E MATEMÁTICA</t>
  </si>
  <si>
    <t xml:space="preserve">Cada verba com seu cálculo detalhado e fundamento legal. Adequada para RH, jurídico e auditoria.</t>
  </si>
  <si>
    <t xml:space="preserve">  DADOS GERAIS</t>
  </si>
  <si>
    <t xml:space="preserve">Funcionário</t>
  </si>
  <si>
    <t xml:space="preserve">Cargo</t>
  </si>
  <si>
    <t xml:space="preserve">Salário base</t>
  </si>
  <si>
    <t xml:space="preserve">Admissão</t>
  </si>
  <si>
    <t xml:space="preserve">Desligamento</t>
  </si>
  <si>
    <t xml:space="preserve">Dias de aviso prévio</t>
  </si>
  <si>
    <t xml:space="preserve">  REMUNERAÇÃO INTEGRADA</t>
  </si>
  <si>
    <t xml:space="preserve">Periculosidade mensal</t>
  </si>
  <si>
    <t xml:space="preserve">Periculosidade integrada</t>
  </si>
  <si>
    <t xml:space="preserve">Insalubridade mensal</t>
  </si>
  <si>
    <t xml:space="preserve">Insalubridade integrada</t>
  </si>
  <si>
    <t xml:space="preserve">Remuneração integrada</t>
  </si>
  <si>
    <t xml:space="preserve">  VERBAS BRUTAS</t>
  </si>
  <si>
    <t xml:space="preserve">  FGTS E MULTA</t>
  </si>
  <si>
    <t xml:space="preserve">Total FGTS gerado</t>
  </si>
  <si>
    <t xml:space="preserve">% Multa FGTS</t>
  </si>
  <si>
    <t xml:space="preserve">  INSS — TABELA PROGRESSIVA 2026</t>
  </si>
  <si>
    <t xml:space="preserve">INSS s/ saldo de salário</t>
  </si>
  <si>
    <t xml:space="preserve">INSS s/ 13º proporcional</t>
  </si>
  <si>
    <t xml:space="preserve">  IRRF — 2026 (Lei 15.270/2025)</t>
  </si>
  <si>
    <t xml:space="preserve">Dedução por dependente</t>
  </si>
  <si>
    <t xml:space="preserve">Base IRRF — saldo de salário</t>
  </si>
  <si>
    <t xml:space="preserve">IRRF final — saldo de salário</t>
  </si>
  <si>
    <t xml:space="preserve">Base IRRF — 13º</t>
  </si>
  <si>
    <t xml:space="preserve">IRRF final — 13º</t>
  </si>
  <si>
    <t xml:space="preserve">  VERBAS CCT E INDENIZAÇÕES</t>
  </si>
  <si>
    <t xml:space="preserve">Indenização de estabilidade</t>
  </si>
  <si>
    <t xml:space="preserve">Multa Art. 477, §8º CLT</t>
  </si>
  <si>
    <t xml:space="preserve">Multas / cláusula penal da CCT</t>
  </si>
  <si>
    <t xml:space="preserve">Indenização VA/VR + plano de saúde (aviso)</t>
  </si>
  <si>
    <t xml:space="preserve">  TOTAIS</t>
  </si>
  <si>
    <t xml:space="preserve">Total bruto</t>
  </si>
  <si>
    <t xml:space="preserve">Total descontos</t>
  </si>
  <si>
    <t xml:space="preserve">VALOR LÍQUIDO</t>
  </si>
  <si>
    <t xml:space="preserve">⚖ Fundamentação: CLT, Lei 12.506/2011, Art. 484-A CLT, Lei 15.270/2025, Súmulas TST/STJ, SV 4 STF, Súmula 396 TST, Port. MPS/MF 13/2026.</t>
  </si>
  <si>
    <t xml:space="preserve">⚙ MOTOR DE CÁLCULO — NÃO EDITAR</t>
  </si>
  <si>
    <t xml:space="preserve">ENTRADAS — links da aba INPUTS</t>
  </si>
  <si>
    <t xml:space="preserve">Data admissão</t>
  </si>
  <si>
    <t xml:space="preserve">Data desligamento</t>
  </si>
  <si>
    <t xml:space="preserve">Tipo desligamento</t>
  </si>
  <si>
    <t xml:space="preserve">Recebe periculosidade</t>
  </si>
  <si>
    <t xml:space="preserve">% periculosidade</t>
  </si>
  <si>
    <t xml:space="preserve">% exposição periculosidade</t>
  </si>
  <si>
    <t xml:space="preserve">Grau insalubridade</t>
  </si>
  <si>
    <t xml:space="preserve">Base insalubridade (SM ou piso CCT)</t>
  </si>
  <si>
    <t xml:space="preserve">% exposição insalubridade</t>
  </si>
  <si>
    <t xml:space="preserve">Média HE habitual</t>
  </si>
  <si>
    <t xml:space="preserve">Média comissão habitual</t>
  </si>
  <si>
    <t xml:space="preserve">Média adicional noturno habitual</t>
  </si>
  <si>
    <t xml:space="preserve">Banco de horas (h)</t>
  </si>
  <si>
    <t xml:space="preserve">% adicional hora</t>
  </si>
  <si>
    <t xml:space="preserve">Férias vencidas (períodos)</t>
  </si>
  <si>
    <t xml:space="preserve">Dependentes IRRF</t>
  </si>
  <si>
    <t xml:space="preserve">Saldo FGTS informado</t>
  </si>
  <si>
    <t xml:space="preserve">Desc. VT</t>
  </si>
  <si>
    <t xml:space="preserve">REMUNERAÇÃO INTEGRADA</t>
  </si>
  <si>
    <t xml:space="preserve">Periculosidade mensal cheia</t>
  </si>
  <si>
    <t xml:space="preserve">Periculosidade integrada (prop. exposição)</t>
  </si>
  <si>
    <t xml:space="preserve">% grau insalubridade</t>
  </si>
  <si>
    <t xml:space="preserve">Insalubridade mensal cheia</t>
  </si>
  <si>
    <t xml:space="preserve">Insalubridade integrada (prop. exposição)</t>
  </si>
  <si>
    <t xml:space="preserve">Remuneração base integrada (c/ noturno)</t>
  </si>
  <si>
    <t xml:space="preserve">DATAS E PERÍODOS</t>
  </si>
  <si>
    <t xml:space="preserve">Dias trabalhados mês rescisão</t>
  </si>
  <si>
    <t xml:space="preserve">Anos completos na data desligamento</t>
  </si>
  <si>
    <t xml:space="preserve">Anos completos na data projetada</t>
  </si>
  <si>
    <t xml:space="preserve">Último aniversário contratual</t>
  </si>
  <si>
    <t xml:space="preserve">Avos férias proporcionais (bruto)</t>
  </si>
  <si>
    <t xml:space="preserve">Avos férias proporcionais (final)</t>
  </si>
  <si>
    <t xml:space="preserve">Início do ano civil (13º)</t>
  </si>
  <si>
    <t xml:space="preserve">Referência inicial avos 13º</t>
  </si>
  <si>
    <t xml:space="preserve">Avos 13º proporcional (bruto)</t>
  </si>
  <si>
    <t xml:space="preserve">Avos 13º proporcional (final)</t>
  </si>
  <si>
    <t xml:space="preserve">VERBAS BRUTAS</t>
  </si>
  <si>
    <t xml:space="preserve">Desconto aviso (pedido dem. sem cumprimento)</t>
  </si>
  <si>
    <t xml:space="preserve">Banco de horas (R$)</t>
  </si>
  <si>
    <t xml:space="preserve">FGTS E MULTA</t>
  </si>
  <si>
    <t xml:space="preserve">% multa FGTS</t>
  </si>
  <si>
    <t xml:space="preserve">Base da multa (saldo informado + FGTS rescisão)</t>
  </si>
  <si>
    <t xml:space="preserve">Multa FGTS (R$)</t>
  </si>
  <si>
    <t xml:space="preserve">INSS — TABELA PROGRESSIVA 2026</t>
  </si>
  <si>
    <t xml:space="preserve">Base INSS — saldo de salário</t>
  </si>
  <si>
    <t xml:space="preserve">INSS sobre saldo de salário</t>
  </si>
  <si>
    <t xml:space="preserve">Base INSS — 13º proporcional</t>
  </si>
  <si>
    <t xml:space="preserve">INSS sobre 13º proporcional</t>
  </si>
  <si>
    <t xml:space="preserve">IRRF — 2026 (Lei 15.270/2025 — isenção até R$5.000)</t>
  </si>
  <si>
    <t xml:space="preserve">Dedução por dependente (R$)</t>
  </si>
  <si>
    <t xml:space="preserve">IRRF tradicional — saldo</t>
  </si>
  <si>
    <t xml:space="preserve">IRRF tradicional — 13º</t>
  </si>
  <si>
    <t xml:space="preserve">TOTAIS</t>
  </si>
  <si>
    <t xml:space="preserve">PARÂMETROS CCT (fallback automático → CLT/tabelas 2026)</t>
  </si>
  <si>
    <t xml:space="preserve">Fator reflexo DSR (1/6)</t>
  </si>
  <si>
    <t xml:space="preserve">Base insalubridade efetiva</t>
  </si>
  <si>
    <t xml:space="preserve">Meses de estabilidade a indenizar</t>
  </si>
  <si>
    <t xml:space="preserve">Multa Art. 477 aplicável (1=sim)</t>
  </si>
  <si>
    <t xml:space="preserve">Multa CCT por atraso</t>
  </si>
  <si>
    <t xml:space="preserve">Cláusula penal CCT</t>
  </si>
  <si>
    <t xml:space="preserve">VA/VR mensal a indenizar</t>
  </si>
  <si>
    <t xml:space="preserve">Plano de saúde mensal a indenizar</t>
  </si>
  <si>
    <t xml:space="preserve">VERBAS CCT E INDENIZAÇÕES (natureza indenizatória — sem INSS/IRRF/FGTS)</t>
  </si>
  <si>
    <t xml:space="preserve">Indenização VA/VR (dias de aviso)</t>
  </si>
  <si>
    <t xml:space="preserve">Indenização plano de saúde (dias de aviso)</t>
  </si>
  <si>
    <t xml:space="preserve">TOTAL VERBAS CCT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</si>
</sst>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0.0%"/>
    <numFmt numFmtId="166" formatCode="&quot;R$ &quot;#,##0.00;[RED]&quot;-R$ &quot;#,##0.00"/>
    <numFmt numFmtId="167" formatCode="0"/>
    <numFmt numFmtId="168" formatCode="m/d/yyyy"/>
    <numFmt numFmtId="169" formatCode="#,##0.00"/>
    <numFmt numFmtId="170" formatCode="@"/>
    <numFmt numFmtId="171" formatCode="dd/mm/yyyy"/>
    <numFmt numFmtId="172" formatCode="0.0000"/>
  </numFmts>
  <fonts count="2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FFFF"/>
      <name val="Arial"/>
      <family val="0"/>
      <charset val="1"/>
    </font>
    <font>
      <i val="true"/>
      <sz val="9"/>
      <color rgb="FF7F7F7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B45309"/>
      <name val="Cambria"/>
      <family val="0"/>
      <charset val="1"/>
    </font>
    <font>
      <b val="true"/>
      <u val="single"/>
      <sz val="11"/>
      <color rgb="FF1D4ED8"/>
      <name val="Cambria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1F497D"/>
      <name val="Arial"/>
      <family val="0"/>
      <charset val="1"/>
    </font>
    <font>
      <i val="true"/>
      <sz val="9"/>
      <color rgb="FF7F7F7F"/>
      <name val="Arial"/>
      <family val="2"/>
      <charset val="1"/>
    </font>
    <font>
      <sz val="9"/>
      <color rgb="FF000000"/>
      <name val="Arial"/>
      <family val="0"/>
      <charset val="1"/>
    </font>
    <font>
      <i val="true"/>
      <sz val="10"/>
      <color rgb="FF1F497D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4"/>
      <color rgb="FF7F6000"/>
      <name val="Arial"/>
      <family val="0"/>
      <charset val="1"/>
    </font>
    <font>
      <b val="true"/>
      <sz val="13"/>
      <color rgb="FFFFFFFF"/>
      <name val="Arial"/>
      <family val="0"/>
      <charset val="1"/>
    </font>
    <font>
      <b val="true"/>
      <sz val="13"/>
      <color rgb="FF375623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9"/>
      <color rgb="FF404040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sz val="10"/>
      <name val="Arial"/>
      <family val="0"/>
      <charset val="1"/>
    </font>
    <font>
      <b val="true"/>
      <sz val="11"/>
      <color theme="0"/>
      <name val="Arial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rgb="FF1F3864"/>
        <bgColor rgb="FF1F497D"/>
      </patternFill>
    </fill>
    <fill>
      <patternFill patternType="solid">
        <fgColor rgb="FFF2F2F2"/>
        <bgColor rgb="FFE2EFDA"/>
      </patternFill>
    </fill>
    <fill>
      <patternFill patternType="solid">
        <fgColor rgb="FFFFFFFF"/>
        <bgColor rgb="FFF2F2F2"/>
      </patternFill>
    </fill>
    <fill>
      <patternFill patternType="solid">
        <fgColor rgb="FF1F497D"/>
        <bgColor rgb="FF1F3864"/>
      </patternFill>
    </fill>
    <fill>
      <patternFill patternType="solid">
        <fgColor rgb="FFC00000"/>
        <bgColor rgb="FF800000"/>
      </patternFill>
    </fill>
    <fill>
      <patternFill patternType="solid">
        <fgColor rgb="FF375623"/>
        <bgColor rgb="FF404040"/>
      </patternFill>
    </fill>
    <fill>
      <patternFill patternType="solid">
        <fgColor rgb="FF7F6000"/>
        <bgColor rgb="FFB45309"/>
      </patternFill>
    </fill>
    <fill>
      <patternFill patternType="solid">
        <fgColor rgb="FFFFF2CC"/>
        <bgColor rgb="FFF2F2F2"/>
      </patternFill>
    </fill>
    <fill>
      <patternFill patternType="solid">
        <fgColor rgb="FFE2EFDA"/>
        <bgColor rgb="FFF2F2F2"/>
      </patternFill>
    </fill>
    <fill>
      <patternFill patternType="solid">
        <fgColor rgb="FF2E75B6"/>
        <bgColor rgb="FF008080"/>
      </patternFill>
    </fill>
    <fill>
      <patternFill patternType="solid">
        <fgColor rgb="FF002060"/>
        <bgColor rgb="FF1F3864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medium">
        <color rgb="FF2E75B6"/>
      </left>
      <right style="medium">
        <color rgb="FF2E75B6"/>
      </right>
      <top style="medium">
        <color rgb="FF2E75B6"/>
      </top>
      <bottom style="medium">
        <color rgb="FF2E75B6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11" fillId="4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2" fillId="4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4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6" fontId="11" fillId="4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7" fontId="11" fillId="4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8" fontId="11" fillId="4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9" fontId="11" fillId="4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6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3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4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5" fillId="6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5" fillId="7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4" fillId="6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4" fillId="7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8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6" fillId="9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0" fillId="3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6" fontId="10" fillId="3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7" fillId="7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8" fillId="1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7" fillId="4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7" fontId="11" fillId="4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3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7" fontId="11" fillId="3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11" fillId="4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1" fillId="3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1" fillId="4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9" fillId="11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3" fillId="4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3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3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70" fontId="7" fillId="3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6" fontId="7" fillId="3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8" fontId="7" fillId="3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9" fontId="7" fillId="3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20" fillId="4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5" fontId="7" fillId="3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5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21" fillId="4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6" fontId="21" fillId="3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71" fontId="7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6" fontId="22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9" fontId="7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6" fontId="10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72" fontId="7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7" fontId="7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23" fillId="1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>
          <bgColor rgb="FFFFC7CE"/>
        </patternFill>
      </fill>
    </dxf>
    <dxf>
      <fill>
        <patternFill>
          <bgColor rgb="FFFFEB9C"/>
        </patternFill>
      </fill>
    </dxf>
  </dxfs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7F6000"/>
      <rgbColor rgb="FF800080"/>
      <rgbColor rgb="FF1F497D"/>
      <rgbColor rgb="FFC0C0C0"/>
      <rgbColor rgb="FF7F7F7F"/>
      <rgbColor rgb="FF9999FF"/>
      <rgbColor rgb="FF993366"/>
      <rgbColor rgb="FFFFF2CC"/>
      <rgbColor rgb="FFF2F2F2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EB9C"/>
      <rgbColor rgb="FF99CCFF"/>
      <rgbColor rgb="FFFF99CC"/>
      <rgbColor rgb="FFCC99FF"/>
      <rgbColor rgb="FFFFC7CE"/>
      <rgbColor rgb="FF2E75B6"/>
      <rgbColor rgb="FF33CCCC"/>
      <rgbColor rgb="FF99CC00"/>
      <rgbColor rgb="FFFFCC00"/>
      <rgbColor rgb="FFFF9900"/>
      <rgbColor rgb="FFFF6600"/>
      <rgbColor rgb="FF666699"/>
      <rgbColor rgb="FF969696"/>
      <rgbColor rgb="FF002060"/>
      <rgbColor rgb="FF339966"/>
      <rgbColor rgb="FF003300"/>
      <rgbColor rgb="FF375623"/>
      <rgbColor rgb="FFB45309"/>
      <rgbColor rgb="FF993366"/>
      <rgbColor rgb="FF1F3864"/>
      <rgbColor rgb="FF40404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pay.kiwify.com.br/VbaT48T" TargetMode="Externa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https://pay.kiwify.com.br/VbaT48T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63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B12" activeCellId="0" sqref="B12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75"/>
    <col collapsed="false" customWidth="true" hidden="false" outlineLevel="0" max="3" min="3" style="1" width="20"/>
  </cols>
  <sheetData>
    <row r="1" customFormat="false" ht="18" hidden="false" customHeight="true" outlineLevel="0" collapsed="false">
      <c r="A1" s="2" t="s">
        <v>0</v>
      </c>
      <c r="B1" s="2"/>
      <c r="C1" s="2"/>
    </row>
    <row r="2" customFormat="false" ht="15" hidden="false" customHeight="true" outlineLevel="0" collapsed="false">
      <c r="A2" s="3" t="s">
        <v>1</v>
      </c>
      <c r="B2" s="3"/>
      <c r="C2" s="3"/>
    </row>
    <row r="4" customFormat="false" ht="15" hidden="false" customHeight="true" outlineLevel="0" collapsed="false">
      <c r="B4" s="4" t="s">
        <v>2</v>
      </c>
      <c r="C4" s="4"/>
    </row>
    <row r="5" customFormat="false" ht="37.5" hidden="false" customHeight="true" outlineLevel="0" collapsed="false">
      <c r="B5" s="5" t="s">
        <v>3</v>
      </c>
      <c r="C5" s="5"/>
    </row>
    <row r="6" customFormat="false" ht="30.75" hidden="false" customHeight="true" outlineLevel="0" collapsed="false">
      <c r="B6" s="6" t="s">
        <v>4</v>
      </c>
      <c r="C6" s="6"/>
    </row>
    <row r="7" customFormat="false" ht="42" hidden="false" customHeight="true" outlineLevel="0" collapsed="false">
      <c r="B7" s="5" t="s">
        <v>5</v>
      </c>
      <c r="C7" s="5"/>
    </row>
    <row r="8" customFormat="false" ht="25.5" hidden="false" customHeight="true" outlineLevel="0" collapsed="false">
      <c r="B8" s="5" t="s">
        <v>6</v>
      </c>
      <c r="C8" s="5"/>
    </row>
    <row r="10" customFormat="false" ht="15" hidden="false" customHeight="true" outlineLevel="0" collapsed="false">
      <c r="B10" s="4" t="s">
        <v>7</v>
      </c>
      <c r="C10" s="4"/>
    </row>
    <row r="11" customFormat="false" ht="15" hidden="false" customHeight="true" outlineLevel="0" collapsed="false">
      <c r="B11" s="5" t="s">
        <v>8</v>
      </c>
      <c r="C11" s="5"/>
    </row>
    <row r="12" customFormat="false" ht="15" hidden="false" customHeight="true" outlineLevel="0" collapsed="false">
      <c r="B12" s="6" t="s">
        <v>9</v>
      </c>
      <c r="C12" s="6"/>
    </row>
    <row r="13" customFormat="false" ht="15" hidden="false" customHeight="true" outlineLevel="0" collapsed="false">
      <c r="B13" s="5" t="s">
        <v>10</v>
      </c>
      <c r="C13" s="5"/>
    </row>
    <row r="14" customFormat="false" ht="15" hidden="false" customHeight="true" outlineLevel="0" collapsed="false">
      <c r="B14" s="6" t="s">
        <v>11</v>
      </c>
      <c r="C14" s="6"/>
    </row>
    <row r="15" customFormat="false" ht="15" hidden="false" customHeight="true" outlineLevel="0" collapsed="false">
      <c r="B15" s="5" t="s">
        <v>12</v>
      </c>
      <c r="C15" s="5"/>
    </row>
    <row r="16" customFormat="false" ht="15" hidden="false" customHeight="true" outlineLevel="0" collapsed="false">
      <c r="B16" s="5" t="s">
        <v>13</v>
      </c>
      <c r="C16" s="5"/>
    </row>
    <row r="18" customFormat="false" ht="15" hidden="false" customHeight="true" outlineLevel="0" collapsed="false">
      <c r="B18" s="4" t="s">
        <v>14</v>
      </c>
      <c r="C18" s="4"/>
    </row>
    <row r="19" customFormat="false" ht="15" hidden="false" customHeight="true" outlineLevel="0" collapsed="false">
      <c r="B19" s="5" t="s">
        <v>15</v>
      </c>
      <c r="C19" s="5"/>
    </row>
    <row r="20" customFormat="false" ht="15" hidden="false" customHeight="true" outlineLevel="0" collapsed="false">
      <c r="B20" s="6" t="s">
        <v>16</v>
      </c>
      <c r="C20" s="6"/>
    </row>
    <row r="21" customFormat="false" ht="15" hidden="false" customHeight="true" outlineLevel="0" collapsed="false">
      <c r="B21" s="5" t="s">
        <v>17</v>
      </c>
      <c r="C21" s="5"/>
    </row>
    <row r="22" customFormat="false" ht="15" hidden="false" customHeight="true" outlineLevel="0" collapsed="false">
      <c r="B22" s="6" t="s">
        <v>18</v>
      </c>
      <c r="C22" s="6"/>
    </row>
    <row r="23" customFormat="false" ht="15" hidden="false" customHeight="true" outlineLevel="0" collapsed="false">
      <c r="B23" s="5" t="s">
        <v>19</v>
      </c>
      <c r="C23" s="5"/>
    </row>
    <row r="24" customFormat="false" ht="15" hidden="false" customHeight="true" outlineLevel="0" collapsed="false">
      <c r="B24" s="6" t="s">
        <v>20</v>
      </c>
      <c r="C24" s="6"/>
    </row>
    <row r="25" customFormat="false" ht="15" hidden="false" customHeight="true" outlineLevel="0" collapsed="false">
      <c r="B25" s="5" t="s">
        <v>21</v>
      </c>
      <c r="C25" s="5"/>
    </row>
    <row r="26" customFormat="false" ht="15" hidden="false" customHeight="true" outlineLevel="0" collapsed="false">
      <c r="B26" s="6" t="s">
        <v>22</v>
      </c>
      <c r="C26" s="6"/>
    </row>
    <row r="27" customFormat="false" ht="15" hidden="false" customHeight="true" outlineLevel="0" collapsed="false">
      <c r="B27" s="5" t="s">
        <v>23</v>
      </c>
      <c r="C27" s="5"/>
    </row>
    <row r="28" customFormat="false" ht="15" hidden="false" customHeight="true" outlineLevel="0" collapsed="false">
      <c r="B28" s="6" t="s">
        <v>24</v>
      </c>
      <c r="C28" s="6"/>
    </row>
    <row r="31" customFormat="false" ht="15" hidden="false" customHeight="true" outlineLevel="0" collapsed="false">
      <c r="B31" s="4" t="s">
        <v>25</v>
      </c>
      <c r="C31" s="4"/>
    </row>
    <row r="32" customFormat="false" ht="15" hidden="false" customHeight="true" outlineLevel="0" collapsed="false">
      <c r="B32" s="5" t="s">
        <v>26</v>
      </c>
      <c r="C32" s="5"/>
    </row>
    <row r="33" customFormat="false" ht="15" hidden="false" customHeight="true" outlineLevel="0" collapsed="false">
      <c r="B33" s="6" t="s">
        <v>27</v>
      </c>
      <c r="C33" s="6"/>
    </row>
    <row r="34" customFormat="false" ht="15" hidden="false" customHeight="true" outlineLevel="0" collapsed="false">
      <c r="B34" s="5" t="s">
        <v>28</v>
      </c>
      <c r="C34" s="5"/>
    </row>
    <row r="35" customFormat="false" ht="15" hidden="false" customHeight="true" outlineLevel="0" collapsed="false">
      <c r="B35" s="6" t="s">
        <v>29</v>
      </c>
      <c r="C35" s="6"/>
    </row>
    <row r="36" customFormat="false" ht="15" hidden="false" customHeight="true" outlineLevel="0" collapsed="false">
      <c r="B36" s="5" t="s">
        <v>30</v>
      </c>
      <c r="C36" s="5"/>
    </row>
    <row r="37" customFormat="false" ht="15" hidden="false" customHeight="true" outlineLevel="0" collapsed="false">
      <c r="B37" s="6" t="s">
        <v>31</v>
      </c>
      <c r="C37" s="6"/>
    </row>
    <row r="38" customFormat="false" ht="27" hidden="false" customHeight="true" outlineLevel="0" collapsed="false">
      <c r="B38" s="5" t="s">
        <v>32</v>
      </c>
      <c r="C38" s="5"/>
    </row>
    <row r="41" customFormat="false" ht="15" hidden="false" customHeight="true" outlineLevel="0" collapsed="false">
      <c r="B41" s="4" t="s">
        <v>33</v>
      </c>
      <c r="C41" s="4"/>
    </row>
    <row r="42" customFormat="false" ht="15" hidden="false" customHeight="true" outlineLevel="0" collapsed="false">
      <c r="B42" s="5" t="s">
        <v>34</v>
      </c>
      <c r="C42" s="5"/>
    </row>
    <row r="43" customFormat="false" ht="15" hidden="false" customHeight="true" outlineLevel="0" collapsed="false">
      <c r="B43" s="6" t="s">
        <v>35</v>
      </c>
      <c r="C43" s="6"/>
    </row>
    <row r="44" customFormat="false" ht="15" hidden="false" customHeight="true" outlineLevel="0" collapsed="false">
      <c r="B44" s="5" t="s">
        <v>36</v>
      </c>
      <c r="C44" s="5"/>
    </row>
    <row r="47" customFormat="false" ht="15" hidden="false" customHeight="true" outlineLevel="0" collapsed="false">
      <c r="B47" s="4" t="s">
        <v>37</v>
      </c>
      <c r="C47" s="4"/>
    </row>
    <row r="48" customFormat="false" ht="15" hidden="false" customHeight="true" outlineLevel="0" collapsed="false">
      <c r="B48" s="5" t="s">
        <v>38</v>
      </c>
      <c r="C48" s="5"/>
    </row>
    <row r="49" customFormat="false" ht="15" hidden="false" customHeight="true" outlineLevel="0" collapsed="false">
      <c r="B49" s="6" t="s">
        <v>39</v>
      </c>
      <c r="C49" s="6"/>
    </row>
    <row r="50" customFormat="false" ht="15" hidden="false" customHeight="true" outlineLevel="0" collapsed="false">
      <c r="B50" s="5" t="s">
        <v>40</v>
      </c>
      <c r="C50" s="5"/>
    </row>
    <row r="53" customFormat="false" ht="15" hidden="false" customHeight="true" outlineLevel="0" collapsed="false">
      <c r="B53" s="4" t="s">
        <v>41</v>
      </c>
      <c r="C53" s="4"/>
    </row>
    <row r="54" customFormat="false" ht="15" hidden="false" customHeight="true" outlineLevel="0" collapsed="false">
      <c r="B54" s="5" t="s">
        <v>42</v>
      </c>
      <c r="C54" s="5"/>
    </row>
    <row r="55" customFormat="false" ht="15" hidden="false" customHeight="true" outlineLevel="0" collapsed="false">
      <c r="B55" s="6" t="s">
        <v>43</v>
      </c>
      <c r="C55" s="6"/>
    </row>
    <row r="56" customFormat="false" ht="15" hidden="false" customHeight="true" outlineLevel="0" collapsed="false">
      <c r="B56" s="5" t="s">
        <v>44</v>
      </c>
      <c r="C56" s="5"/>
    </row>
    <row r="57" customFormat="false" ht="15" hidden="false" customHeight="true" outlineLevel="0" collapsed="false">
      <c r="B57" s="6" t="s">
        <v>45</v>
      </c>
      <c r="C57" s="6"/>
    </row>
    <row r="59" customFormat="false" ht="15" hidden="false" customHeight="false" outlineLevel="0" collapsed="false">
      <c r="B59" s="7" t="s">
        <v>46</v>
      </c>
    </row>
    <row r="60" customFormat="false" ht="15" hidden="false" customHeight="false" outlineLevel="0" collapsed="false">
      <c r="B60" s="7" t="s">
        <v>47</v>
      </c>
    </row>
    <row r="61" customFormat="false" ht="15" hidden="false" customHeight="false" outlineLevel="0" collapsed="false">
      <c r="B61" s="7" t="s">
        <v>48</v>
      </c>
    </row>
    <row r="62" customFormat="false" ht="15" hidden="false" customHeight="false" outlineLevel="0" collapsed="false">
      <c r="B62" s="8" t="s">
        <v>49</v>
      </c>
    </row>
    <row r="63" customFormat="false" ht="30.75" hidden="false" customHeight="true" outlineLevel="0" collapsed="false">
      <c r="A63" s="3" t="s">
        <v>50</v>
      </c>
      <c r="B63" s="3"/>
      <c r="C63" s="3"/>
    </row>
  </sheetData>
  <sheetProtection sheet="true" password="dffa" formatColumns="false" formatRows="false"/>
  <mergeCells count="47">
    <mergeCell ref="A1:C1"/>
    <mergeCell ref="A2:C2"/>
    <mergeCell ref="B4:C4"/>
    <mergeCell ref="B5:C5"/>
    <mergeCell ref="B6:C6"/>
    <mergeCell ref="B7:C7"/>
    <mergeCell ref="B8:C8"/>
    <mergeCell ref="B10:C10"/>
    <mergeCell ref="B11:C11"/>
    <mergeCell ref="B12:C12"/>
    <mergeCell ref="B13:C13"/>
    <mergeCell ref="B14:C14"/>
    <mergeCell ref="B15:C15"/>
    <mergeCell ref="B16:C16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31:C31"/>
    <mergeCell ref="B32:C32"/>
    <mergeCell ref="B33:C33"/>
    <mergeCell ref="B34:C34"/>
    <mergeCell ref="B35:C35"/>
    <mergeCell ref="B36:C36"/>
    <mergeCell ref="B37:C37"/>
    <mergeCell ref="B38:C38"/>
    <mergeCell ref="B41:C41"/>
    <mergeCell ref="B42:C42"/>
    <mergeCell ref="B43:C43"/>
    <mergeCell ref="B44:C44"/>
    <mergeCell ref="B47:C47"/>
    <mergeCell ref="B48:C48"/>
    <mergeCell ref="B49:C49"/>
    <mergeCell ref="B50:C50"/>
    <mergeCell ref="B53:C53"/>
    <mergeCell ref="B54:C54"/>
    <mergeCell ref="B55:C55"/>
    <mergeCell ref="B56:C56"/>
    <mergeCell ref="B57:C57"/>
    <mergeCell ref="A63:C63"/>
  </mergeCells>
  <hyperlinks>
    <hyperlink ref="B62" r:id="rId1" display="👉 GARANTA A PREMIUM COM PREÇO DE LANÇAMENTO: https://pay.kiwify.com.br/VbaT48T"/>
  </hyperlinks>
  <printOptions headings="false" gridLines="false" gridLinesSet="true" horizontalCentered="true" verticalCentered="false"/>
  <pageMargins left="0.4" right="0.4" top="0.5" bottom="0.5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27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58.57"/>
    <col collapsed="false" customWidth="true" hidden="false" outlineLevel="0" max="2" min="2" style="1" width="23.86"/>
    <col collapsed="false" customWidth="true" hidden="false" outlineLevel="0" max="3" min="3" style="1" width="59.29"/>
  </cols>
  <sheetData>
    <row r="1" customFormat="false" ht="17.25" hidden="false" customHeight="true" outlineLevel="0" collapsed="false">
      <c r="A1" s="2" t="s">
        <v>51</v>
      </c>
      <c r="B1" s="2"/>
      <c r="C1" s="2"/>
    </row>
    <row r="2" customFormat="false" ht="15" hidden="false" customHeight="true" outlineLevel="0" collapsed="false">
      <c r="A2" s="3" t="s">
        <v>52</v>
      </c>
      <c r="B2" s="3"/>
      <c r="C2" s="3"/>
    </row>
    <row r="4" customFormat="false" ht="15" hidden="false" customHeight="true" outlineLevel="0" collapsed="false">
      <c r="A4" s="4" t="s">
        <v>53</v>
      </c>
      <c r="B4" s="4"/>
      <c r="C4" s="4"/>
    </row>
    <row r="5" customFormat="false" ht="24" hidden="false" customHeight="true" outlineLevel="0" collapsed="false">
      <c r="A5" s="9" t="s">
        <v>54</v>
      </c>
      <c r="B5" s="10"/>
      <c r="C5" s="11" t="s">
        <v>55</v>
      </c>
    </row>
    <row r="6" customFormat="false" ht="24" hidden="false" customHeight="true" outlineLevel="0" collapsed="false">
      <c r="A6" s="9" t="s">
        <v>56</v>
      </c>
      <c r="B6" s="10"/>
      <c r="C6" s="12" t="s">
        <v>57</v>
      </c>
    </row>
    <row r="7" customFormat="false" ht="24" hidden="false" customHeight="true" outlineLevel="0" collapsed="false">
      <c r="A7" s="9" t="s">
        <v>58</v>
      </c>
      <c r="B7" s="13" t="s">
        <v>59</v>
      </c>
      <c r="C7" s="12" t="s">
        <v>60</v>
      </c>
    </row>
    <row r="9" customFormat="false" ht="15" hidden="false" customHeight="true" outlineLevel="0" collapsed="false">
      <c r="A9" s="4" t="s">
        <v>61</v>
      </c>
      <c r="B9" s="4"/>
      <c r="C9" s="4"/>
    </row>
    <row r="10" customFormat="false" ht="24" hidden="false" customHeight="true" outlineLevel="0" collapsed="false">
      <c r="A10" s="9" t="s">
        <v>62</v>
      </c>
      <c r="B10" s="13" t="s">
        <v>63</v>
      </c>
      <c r="C10" s="12" t="s">
        <v>64</v>
      </c>
    </row>
    <row r="11" customFormat="false" ht="24" hidden="false" customHeight="true" outlineLevel="0" collapsed="false">
      <c r="A11" s="9" t="s">
        <v>65</v>
      </c>
      <c r="B11" s="14"/>
      <c r="C11" s="12" t="s">
        <v>66</v>
      </c>
    </row>
    <row r="13" customFormat="false" ht="15" hidden="false" customHeight="true" outlineLevel="0" collapsed="false">
      <c r="A13" s="4" t="s">
        <v>67</v>
      </c>
      <c r="B13" s="4"/>
      <c r="C13" s="4"/>
    </row>
    <row r="14" customFormat="false" ht="24" hidden="false" customHeight="true" outlineLevel="0" collapsed="false">
      <c r="A14" s="9" t="s">
        <v>68</v>
      </c>
      <c r="B14" s="13" t="s">
        <v>59</v>
      </c>
      <c r="C14" s="12" t="s">
        <v>69</v>
      </c>
    </row>
    <row r="15" customFormat="false" ht="24" hidden="false" customHeight="true" outlineLevel="0" collapsed="false">
      <c r="A15" s="9" t="s">
        <v>70</v>
      </c>
      <c r="B15" s="13" t="s">
        <v>71</v>
      </c>
      <c r="C15" s="12" t="s">
        <v>72</v>
      </c>
    </row>
    <row r="16" customFormat="false" ht="24" hidden="false" customHeight="true" outlineLevel="0" collapsed="false">
      <c r="A16" s="9" t="s">
        <v>73</v>
      </c>
      <c r="B16" s="15"/>
      <c r="C16" s="12" t="s">
        <v>74</v>
      </c>
    </row>
    <row r="18" customFormat="false" ht="15" hidden="false" customHeight="true" outlineLevel="0" collapsed="false">
      <c r="A18" s="4" t="s">
        <v>75</v>
      </c>
      <c r="B18" s="4"/>
      <c r="C18" s="4"/>
    </row>
    <row r="19" customFormat="false" ht="24" hidden="false" customHeight="true" outlineLevel="0" collapsed="false">
      <c r="A19" s="9" t="s">
        <v>76</v>
      </c>
      <c r="B19" s="13" t="s">
        <v>59</v>
      </c>
      <c r="C19" s="12" t="s">
        <v>77</v>
      </c>
    </row>
    <row r="20" customFormat="false" ht="15" hidden="false" customHeight="true" outlineLevel="0" collapsed="false">
      <c r="A20" s="9" t="s">
        <v>78</v>
      </c>
      <c r="B20" s="14"/>
      <c r="C20" s="12" t="s">
        <v>79</v>
      </c>
    </row>
    <row r="21" customFormat="false" ht="24" hidden="false" customHeight="true" outlineLevel="0" collapsed="false">
      <c r="A21" s="9" t="s">
        <v>80</v>
      </c>
      <c r="B21" s="14"/>
      <c r="C21" s="12" t="s">
        <v>81</v>
      </c>
    </row>
    <row r="23" customFormat="false" ht="15" hidden="false" customHeight="true" outlineLevel="0" collapsed="false">
      <c r="A23" s="4" t="s">
        <v>82</v>
      </c>
      <c r="B23" s="4"/>
      <c r="C23" s="4"/>
    </row>
    <row r="24" customFormat="false" ht="24" hidden="false" customHeight="true" outlineLevel="0" collapsed="false">
      <c r="A24" s="9" t="s">
        <v>83</v>
      </c>
      <c r="B24" s="14"/>
      <c r="C24" s="12" t="s">
        <v>84</v>
      </c>
    </row>
    <row r="25" customFormat="false" ht="15" hidden="false" customHeight="true" outlineLevel="0" collapsed="false">
      <c r="A25" s="9" t="s">
        <v>85</v>
      </c>
      <c r="B25" s="14"/>
      <c r="C25" s="12" t="s">
        <v>86</v>
      </c>
    </row>
    <row r="27" customFormat="false" ht="15" hidden="false" customHeight="true" outlineLevel="0" collapsed="false">
      <c r="A27" s="3" t="s">
        <v>87</v>
      </c>
      <c r="B27" s="3"/>
      <c r="C27" s="3"/>
    </row>
  </sheetData>
  <sheetProtection sheet="true" password="dffa" formatColumns="false" formatRows="false"/>
  <mergeCells count="8">
    <mergeCell ref="A1:C1"/>
    <mergeCell ref="A2:C2"/>
    <mergeCell ref="A4:C4"/>
    <mergeCell ref="A9:C9"/>
    <mergeCell ref="A13:C13"/>
    <mergeCell ref="A18:C18"/>
    <mergeCell ref="A23:C23"/>
    <mergeCell ref="A27:C27"/>
  </mergeCells>
  <conditionalFormatting sqref="B11">
    <cfRule type="expression" priority="2" aboveAverage="0" equalAverage="0" bottom="0" percent="0" rank="0" text="" dxfId="0">
      <formula>AND($B$10="Piso da CCT",OR($B$11="",N($B$11)&lt;=0))</formula>
    </cfRule>
  </conditionalFormatting>
  <conditionalFormatting sqref="B16">
    <cfRule type="expression" priority="3" aboveAverage="0" equalAverage="0" bottom="0" percent="0" rank="0" text="" dxfId="0">
      <formula>AND($B$14="Sim",OR($B$16="",N($B$16)&lt;=0))</formula>
    </cfRule>
  </conditionalFormatting>
  <dataValidations count="3">
    <dataValidation allowBlank="true" errorStyle="stop" operator="between" showDropDown="false" showErrorMessage="false" showInputMessage="false" sqref="B7 B14 B19" type="list">
      <formula1>"Sim,Não"</formula1>
      <formula2>0</formula2>
    </dataValidation>
    <dataValidation allowBlank="true" errorStyle="stop" operator="between" showDropDown="false" showErrorMessage="false" showInputMessage="false" sqref="B10" type="list">
      <formula1>"Salário Mínimo Nacional,Piso da CCT"</formula1>
      <formula2>0</formula2>
    </dataValidation>
    <dataValidation allowBlank="true" errorStyle="stop" operator="between" showDropDown="false" showErrorMessage="false" showInputMessage="false" sqref="B15" type="list">
      <formula1>"Nenhuma,Gestante,Acidente de trabalho,CIPA,Pré-aposentadoria (CCT),Outra prevista em CCT"</formula1>
      <formula2>0</formula2>
    </dataValidation>
  </dataValidations>
  <printOptions headings="false" gridLines="false" gridLinesSet="true" horizontalCentered="true" verticalCentered="false"/>
  <pageMargins left="0.4" right="0.4" top="0.5" bottom="0.5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4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43.57"/>
    <col collapsed="false" customWidth="true" hidden="false" outlineLevel="0" max="2" min="2" style="1" width="26"/>
    <col collapsed="false" customWidth="true" hidden="false" outlineLevel="0" max="3" min="3" style="1" width="46.29"/>
  </cols>
  <sheetData>
    <row r="1" customFormat="false" ht="37.5" hidden="false" customHeight="true" outlineLevel="0" collapsed="false">
      <c r="A1" s="2" t="s">
        <v>88</v>
      </c>
      <c r="B1" s="2"/>
      <c r="C1" s="2"/>
    </row>
    <row r="2" customFormat="false" ht="15" hidden="false" customHeight="true" outlineLevel="0" collapsed="false">
      <c r="A2" s="3" t="s">
        <v>89</v>
      </c>
      <c r="B2" s="3"/>
      <c r="C2" s="3"/>
    </row>
    <row r="4" customFormat="false" ht="19.5" hidden="false" customHeight="true" outlineLevel="0" collapsed="false">
      <c r="A4" s="4" t="s">
        <v>90</v>
      </c>
      <c r="B4" s="4"/>
      <c r="C4" s="4"/>
    </row>
    <row r="5" customFormat="false" ht="15" hidden="false" customHeight="true" outlineLevel="0" collapsed="false">
      <c r="A5" s="9" t="s">
        <v>91</v>
      </c>
      <c r="B5" s="13" t="s">
        <v>92</v>
      </c>
      <c r="C5" s="12" t="s">
        <v>93</v>
      </c>
    </row>
    <row r="6" customFormat="false" ht="15" hidden="false" customHeight="true" outlineLevel="0" collapsed="false">
      <c r="A6" s="9" t="s">
        <v>94</v>
      </c>
      <c r="B6" s="13" t="s">
        <v>95</v>
      </c>
      <c r="C6" s="12" t="s">
        <v>96</v>
      </c>
    </row>
    <row r="7" customFormat="false" ht="15" hidden="false" customHeight="true" outlineLevel="0" collapsed="false">
      <c r="A7" s="9" t="s">
        <v>97</v>
      </c>
      <c r="B7" s="14" t="n">
        <v>3500</v>
      </c>
      <c r="C7" s="12" t="s">
        <v>98</v>
      </c>
    </row>
    <row r="8" customFormat="false" ht="15" hidden="false" customHeight="true" outlineLevel="0" collapsed="false">
      <c r="A8" s="9" t="s">
        <v>99</v>
      </c>
      <c r="B8" s="16" t="n">
        <v>44986</v>
      </c>
      <c r="C8" s="12" t="s">
        <v>100</v>
      </c>
    </row>
    <row r="9" customFormat="false" ht="15" hidden="false" customHeight="true" outlineLevel="0" collapsed="false">
      <c r="A9" s="9" t="s">
        <v>101</v>
      </c>
      <c r="B9" s="16" t="n">
        <v>46173</v>
      </c>
      <c r="C9" s="12" t="s">
        <v>100</v>
      </c>
    </row>
    <row r="11" customFormat="false" ht="19.5" hidden="false" customHeight="true" outlineLevel="0" collapsed="false">
      <c r="A11" s="4" t="s">
        <v>102</v>
      </c>
      <c r="B11" s="4"/>
      <c r="C11" s="4"/>
    </row>
    <row r="12" customFormat="false" ht="15" hidden="false" customHeight="true" outlineLevel="0" collapsed="false">
      <c r="A12" s="9" t="s">
        <v>103</v>
      </c>
      <c r="B12" s="13" t="s">
        <v>104</v>
      </c>
      <c r="C12" s="12" t="s">
        <v>105</v>
      </c>
    </row>
    <row r="13" customFormat="false" ht="15" hidden="false" customHeight="true" outlineLevel="0" collapsed="false">
      <c r="A13" s="9" t="s">
        <v>106</v>
      </c>
      <c r="B13" s="13" t="s">
        <v>107</v>
      </c>
      <c r="C13" s="12" t="s">
        <v>105</v>
      </c>
    </row>
    <row r="15" customFormat="false" ht="19.5" hidden="false" customHeight="true" outlineLevel="0" collapsed="false">
      <c r="A15" s="4" t="s">
        <v>108</v>
      </c>
      <c r="B15" s="4"/>
      <c r="C15" s="4"/>
    </row>
    <row r="16" customFormat="false" ht="15" hidden="false" customHeight="true" outlineLevel="0" collapsed="false">
      <c r="A16" s="9" t="s">
        <v>109</v>
      </c>
      <c r="B16" s="13" t="s">
        <v>59</v>
      </c>
      <c r="C16" s="12" t="s">
        <v>110</v>
      </c>
    </row>
    <row r="17" customFormat="false" ht="15" hidden="false" customHeight="true" outlineLevel="0" collapsed="false">
      <c r="A17" s="9" t="s">
        <v>111</v>
      </c>
      <c r="B17" s="10" t="n">
        <v>0.3</v>
      </c>
      <c r="C17" s="12" t="s">
        <v>112</v>
      </c>
    </row>
    <row r="18" customFormat="false" ht="15" hidden="false" customHeight="true" outlineLevel="0" collapsed="false">
      <c r="A18" s="9" t="s">
        <v>113</v>
      </c>
      <c r="B18" s="10" t="n">
        <v>1</v>
      </c>
      <c r="C18" s="12" t="s">
        <v>114</v>
      </c>
    </row>
    <row r="19" customFormat="false" ht="24" hidden="false" customHeight="true" outlineLevel="0" collapsed="false">
      <c r="A19" s="9" t="s">
        <v>115</v>
      </c>
      <c r="B19" s="13" t="s">
        <v>116</v>
      </c>
      <c r="C19" s="12" t="s">
        <v>117</v>
      </c>
    </row>
    <row r="20" customFormat="false" ht="15" hidden="false" customHeight="true" outlineLevel="0" collapsed="false">
      <c r="A20" s="9" t="s">
        <v>118</v>
      </c>
      <c r="B20" s="14" t="n">
        <v>1621</v>
      </c>
      <c r="C20" s="12" t="s">
        <v>119</v>
      </c>
    </row>
    <row r="21" customFormat="false" ht="15" hidden="false" customHeight="true" outlineLevel="0" collapsed="false">
      <c r="A21" s="9" t="s">
        <v>120</v>
      </c>
      <c r="B21" s="10" t="n">
        <v>1</v>
      </c>
      <c r="C21" s="12" t="s">
        <v>121</v>
      </c>
    </row>
    <row r="23" customFormat="false" ht="19.5" hidden="false" customHeight="true" outlineLevel="0" collapsed="false">
      <c r="A23" s="4" t="s">
        <v>122</v>
      </c>
      <c r="B23" s="4"/>
      <c r="C23" s="4"/>
    </row>
    <row r="24" customFormat="false" ht="15" hidden="false" customHeight="true" outlineLevel="0" collapsed="false">
      <c r="A24" s="9" t="s">
        <v>123</v>
      </c>
      <c r="B24" s="14" t="n">
        <v>0</v>
      </c>
      <c r="C24" s="12" t="s">
        <v>124</v>
      </c>
    </row>
    <row r="25" customFormat="false" ht="15" hidden="false" customHeight="true" outlineLevel="0" collapsed="false">
      <c r="A25" s="9" t="s">
        <v>125</v>
      </c>
      <c r="B25" s="14" t="n">
        <v>0</v>
      </c>
      <c r="C25" s="12" t="s">
        <v>126</v>
      </c>
    </row>
    <row r="26" customFormat="false" ht="24" hidden="false" customHeight="true" outlineLevel="0" collapsed="false">
      <c r="A26" s="9" t="s">
        <v>127</v>
      </c>
      <c r="B26" s="14" t="n">
        <v>0</v>
      </c>
      <c r="C26" s="12" t="s">
        <v>128</v>
      </c>
    </row>
    <row r="27" customFormat="false" ht="24" hidden="false" customHeight="true" outlineLevel="0" collapsed="false">
      <c r="A27" s="9" t="s">
        <v>129</v>
      </c>
      <c r="B27" s="13" t="s">
        <v>130</v>
      </c>
      <c r="C27" s="12" t="s">
        <v>131</v>
      </c>
    </row>
    <row r="28" customFormat="false" ht="15" hidden="false" customHeight="true" outlineLevel="0" collapsed="false">
      <c r="A28" s="9" t="s">
        <v>132</v>
      </c>
      <c r="B28" s="17" t="n">
        <v>0</v>
      </c>
      <c r="C28" s="12" t="s">
        <v>133</v>
      </c>
    </row>
    <row r="29" customFormat="false" ht="24" hidden="false" customHeight="true" outlineLevel="0" collapsed="false">
      <c r="A29" s="9" t="s">
        <v>134</v>
      </c>
      <c r="B29" s="10" t="n">
        <v>0.5</v>
      </c>
      <c r="C29" s="12" t="s">
        <v>135</v>
      </c>
    </row>
    <row r="30" customFormat="false" ht="19.5" hidden="false" customHeight="true" outlineLevel="0" collapsed="false"/>
    <row r="31" customFormat="false" ht="19.5" hidden="false" customHeight="true" outlineLevel="0" collapsed="false">
      <c r="A31" s="18" t="s">
        <v>136</v>
      </c>
    </row>
    <row r="32" customFormat="false" ht="24" hidden="false" customHeight="true" outlineLevel="0" collapsed="false">
      <c r="A32" s="9" t="s">
        <v>137</v>
      </c>
      <c r="B32" s="15" t="n">
        <v>1</v>
      </c>
      <c r="C32" s="12" t="s">
        <v>138</v>
      </c>
    </row>
    <row r="33" customFormat="false" ht="15" hidden="false" customHeight="true" outlineLevel="0" collapsed="false">
      <c r="A33" s="9" t="s">
        <v>139</v>
      </c>
      <c r="B33" s="13" t="n">
        <v>0</v>
      </c>
      <c r="C33" s="12" t="s">
        <v>140</v>
      </c>
    </row>
    <row r="34" customFormat="false" ht="15" hidden="false" customHeight="true" outlineLevel="0" collapsed="false">
      <c r="A34" s="9" t="s">
        <v>141</v>
      </c>
      <c r="B34" s="14" t="n">
        <v>50000</v>
      </c>
      <c r="C34" s="12" t="s">
        <v>142</v>
      </c>
    </row>
    <row r="35" customFormat="false" ht="15" hidden="false" customHeight="true" outlineLevel="0" collapsed="false">
      <c r="A35" s="9" t="s">
        <v>143</v>
      </c>
      <c r="B35" s="14" t="n">
        <v>6</v>
      </c>
      <c r="C35" s="12" t="s">
        <v>144</v>
      </c>
    </row>
    <row r="36" customFormat="false" ht="15" hidden="false" customHeight="true" outlineLevel="0" collapsed="false">
      <c r="A36" s="9" t="s">
        <v>145</v>
      </c>
      <c r="B36" s="14" t="n">
        <v>0</v>
      </c>
      <c r="C36" s="12" t="s">
        <v>146</v>
      </c>
    </row>
    <row r="37" customFormat="false" ht="24" hidden="false" customHeight="true" outlineLevel="0" collapsed="false">
      <c r="A37" s="9" t="s">
        <v>147</v>
      </c>
      <c r="B37" s="14" t="n">
        <v>0</v>
      </c>
      <c r="C37" s="12" t="s">
        <v>148</v>
      </c>
    </row>
    <row r="38" customFormat="false" ht="24" hidden="false" customHeight="true" outlineLevel="0" collapsed="false">
      <c r="A38" s="9" t="s">
        <v>149</v>
      </c>
      <c r="B38" s="13" t="s">
        <v>150</v>
      </c>
      <c r="C38" s="12" t="s">
        <v>151</v>
      </c>
    </row>
    <row r="39" customFormat="false" ht="27.75" hidden="false" customHeight="true" outlineLevel="0" collapsed="false">
      <c r="A39" s="18" t="s">
        <v>152</v>
      </c>
      <c r="B39" s="19"/>
      <c r="C39" s="19"/>
    </row>
    <row r="40" customFormat="false" ht="22.5" hidden="false" customHeight="true" outlineLevel="0" collapsed="false">
      <c r="A40" s="9" t="s">
        <v>153</v>
      </c>
      <c r="B40" s="20" t="str">
        <f aca="false">IF(B9&lt;=B8,"🚫 Data de desligamento anterior à admissão — corrija antes de prosseguir.","✅ Datas consistentes.")</f>
        <v>✅ Datas consistentes.</v>
      </c>
      <c r="C40" s="20"/>
    </row>
    <row r="41" customFormat="false" ht="22.5" hidden="false" customHeight="true" outlineLevel="0" collapsed="false">
      <c r="A41" s="9" t="s">
        <v>106</v>
      </c>
      <c r="B41" s="20" t="str">
        <f aca="false">IF(B13="Indenizado","⚠️ Aviso indenizado: projeta-se o contrato para fins de 13º e férias (Súmula 371 TST).",IF(B13="Trabalhado","✅ Aviso trabalhado: empregado permanece até o fim do prazo.","ℹ️ Aviso não aplicável."))</f>
        <v>⚠️ Aviso indenizado: projeta-se o contrato para fins de 13º e férias (Súmula 371 TST).</v>
      </c>
      <c r="C41" s="20"/>
    </row>
    <row r="42" customFormat="false" ht="22.5" hidden="false" customHeight="true" outlineLevel="0" collapsed="false">
      <c r="A42" s="9" t="s">
        <v>154</v>
      </c>
      <c r="B42" s="20" t="str">
        <f aca="false">IF(OR(B12="Sem justa causa",B12="Rescisão indireta"),"✅ Direito à multa de 40% do FGTS.",IF(B12="Rescisão consensual","⚠️ Rescisão consensual: multa reduzida a 20% (Art. 484-A CLT).",IF(B12="Justa causa","❌ Justa causa: sem multa de 40% do FGTS.","ℹ️ Verifique condições específicas.")))</f>
        <v>✅ Direito à multa de 40% do FGTS.</v>
      </c>
      <c r="C42" s="20"/>
    </row>
    <row r="43" customFormat="false" ht="22.5" hidden="false" customHeight="true" outlineLevel="0" collapsed="false">
      <c r="A43" s="9" t="s">
        <v>155</v>
      </c>
      <c r="B43" s="20" t="str">
        <f aca="false">IF(B32&gt;0,IF(B38="Sim","⚠️ "&amp;B32&amp;" período(s) de férias vencidas — pagamento em DOBRO (período concessivo vencido, Art. 137 CLT).","⚠️ "&amp;B32&amp;" período(s) de férias vencidas — pagamento simples + 1/3 (dentro do período concessivo)."),"✅ Sem férias vencidas pendentes.")</f>
        <v>⚠️ 1 período(s) de férias vencidas — pagamento em DOBRO (período concessivo vencido, Art. 137 CLT).</v>
      </c>
      <c r="C43" s="20"/>
    </row>
    <row r="44" customFormat="false" ht="22.5" hidden="false" customHeight="true" outlineLevel="0" collapsed="false">
      <c r="A44" s="9" t="s">
        <v>156</v>
      </c>
      <c r="B44" s="20" t="str">
        <f aca="false">IF(B28&gt;0,"💳 Banco positivo: saldo a pagar ao funcionário.",IF(B28&lt;0,"🔻 Banco negativo: será descontado na rescisão.","✅ Banco zerado."))</f>
        <v>✅ Banco zerado.</v>
      </c>
      <c r="C44" s="20"/>
    </row>
    <row r="45" customFormat="false" ht="22.5" hidden="false" customHeight="true" outlineLevel="0" collapsed="false">
      <c r="A45" s="9" t="s">
        <v>157</v>
      </c>
      <c r="B45" s="20" t="str">
        <f aca="false">IF(AND(B16="Sim",B19&lt;&gt;"Nenhum"),"⚠️ Periculosidade + insalubridade cumuladas — em regra não permitido pela MESMA exposição (Art. 193, §2º CLT). Verifique se há CCT ou laudo que justifique.","✅ Sem acúmulo de adicionais de risco.")</f>
        <v>✅ Sem acúmulo de adicionais de risco.</v>
      </c>
      <c r="C45" s="20"/>
    </row>
    <row r="46" customFormat="false" ht="22.5" hidden="false" customHeight="true" outlineLevel="0" collapsed="false">
      <c r="A46" s="9" t="s">
        <v>158</v>
      </c>
      <c r="B46" s="21" t="str">
        <f aca="false">IF(B29&lt;0.5,"⚠️ Percentual abaixo do mínimo legal de 50% (Art. 59, §1º CLT). Verifique CCT/ACT.","✅ Percentual dentro do mínimo legal.")</f>
        <v>✅ Percentual dentro do mínimo legal.</v>
      </c>
    </row>
    <row r="47" customFormat="false" ht="22.5" hidden="false" customHeight="true" outlineLevel="0" collapsed="false">
      <c r="A47" s="9" t="s">
        <v>159</v>
      </c>
      <c r="B47" s="20" t="str">
        <f aca="false">IF(B12="Justa causa","⚠️ Justa causa: sem aviso prévio, sem 13º e férias proporcionais e sem multa FGTS. Devidos: saldo de salário e férias vencidas + 1/3.","✅ Não se aplica.")</f>
        <v>✅ Não se aplica.</v>
      </c>
      <c r="C47" s="20"/>
    </row>
    <row r="48" customFormat="false" ht="22.5" hidden="false" customHeight="true" outlineLevel="0" collapsed="false">
      <c r="A48" s="9" t="s">
        <v>160</v>
      </c>
      <c r="B48" s="20" t="str">
        <f aca="false">IF(OR(CONFIG_CCT!B5&lt;&gt;"",CONFIG_CCT!B7="Sim",CONFIG_CCT!B10="Piso da CCT",CONFIG_CCT!B14="Sim",CONFIG_CCT!B19="Sim",N(CONFIG_CCT!B20)&gt;0,N(CONFIG_CCT!B21)&gt;0,N(CONFIG_CCT!B24)&gt;0,N(CONFIG_CCT!B25)&gt;0),"⚙️ Parâmetros de CCT ativos — verbas adicionais aplicadas (ver RESULTADO FINAL e MEMÓRIA).","✅ Nenhuma CCT configurada — aplicando CLT padrão e tabelas 2026.")</f>
        <v>✅ Nenhuma CCT configurada — aplicando CLT padrão e tabelas 2026.</v>
      </c>
      <c r="C48" s="20"/>
    </row>
    <row r="49" customFormat="false" ht="27.75" hidden="false" customHeight="true" outlineLevel="0" collapsed="false">
      <c r="A49" s="3" t="s">
        <v>161</v>
      </c>
      <c r="B49" s="3"/>
      <c r="C49" s="3"/>
    </row>
  </sheetData>
  <sheetProtection sheet="true" password="dffa" formatColumns="false" formatRows="false"/>
  <mergeCells count="16">
    <mergeCell ref="A1:C1"/>
    <mergeCell ref="A2:C2"/>
    <mergeCell ref="A4:C4"/>
    <mergeCell ref="A11:C11"/>
    <mergeCell ref="A15:C15"/>
    <mergeCell ref="A23:C23"/>
    <mergeCell ref="B39:C39"/>
    <mergeCell ref="B40:C40"/>
    <mergeCell ref="B41:C41"/>
    <mergeCell ref="B42:C42"/>
    <mergeCell ref="B43:C43"/>
    <mergeCell ref="B44:C44"/>
    <mergeCell ref="B45:C45"/>
    <mergeCell ref="B47:C47"/>
    <mergeCell ref="B48:C48"/>
    <mergeCell ref="A49:C49"/>
  </mergeCells>
  <conditionalFormatting sqref="B9">
    <cfRule type="expression" priority="2" aboveAverage="0" equalAverage="0" bottom="0" percent="0" rank="0" text="" dxfId="0">
      <formula>AND($B$9&lt;&gt;"",$B$9&lt;=$B$8)</formula>
    </cfRule>
  </conditionalFormatting>
  <conditionalFormatting sqref="B7">
    <cfRule type="expression" priority="3" aboveAverage="0" equalAverage="0" bottom="0" percent="0" rank="0" text="" dxfId="0">
      <formula>$B$7&lt;=0</formula>
    </cfRule>
  </conditionalFormatting>
  <conditionalFormatting sqref="B29">
    <cfRule type="expression" priority="4" aboveAverage="0" equalAverage="0" bottom="0" percent="0" rank="0" text="" dxfId="1">
      <formula>$B$29&lt;0.5</formula>
    </cfRule>
  </conditionalFormatting>
  <dataValidations count="9">
    <dataValidation allowBlank="false" errorStyle="stop" operator="between" showDropDown="false" showErrorMessage="false" showInputMessage="false" sqref="B12" type="list">
      <formula1>"Sem justa causa,Pedido de demissão"</formula1>
      <formula2>0</formula2>
    </dataValidation>
    <dataValidation allowBlank="false" errorStyle="stop" operator="between" showDropDown="false" showErrorMessage="false" showInputMessage="false" sqref="B13" type="list">
      <formula1>"Trabalhado,Indenizado,Não aplicável"</formula1>
      <formula2>0</formula2>
    </dataValidation>
    <dataValidation allowBlank="false" errorStyle="stop" operator="between" showDropDown="false" showErrorMessage="false" showInputMessage="false" sqref="B16 B38" type="list">
      <formula1>"Sim,Não"</formula1>
      <formula2>0</formula2>
    </dataValidation>
    <dataValidation allowBlank="false" errorStyle="stop" operator="between" showDropDown="false" showErrorMessage="false" showInputMessage="false" sqref="B19" type="list">
      <formula1>"Nenhum"</formula1>
      <formula2>0</formula2>
    </dataValidation>
    <dataValidation allowBlank="false" error="Digite um valor numérico maior ou igual a zero." errorStyle="stop" errorTitle="Valor inválido" operator="greaterThanOrEqual" showDropDown="false" showErrorMessage="true" showInputMessage="false" sqref="B7 B24:B26 B34:B37" type="decimal">
      <formula1>0</formula1>
      <formula2>0</formula2>
    </dataValidation>
    <dataValidation allowBlank="false" error="Digite um número inteiro entre 0 e 30." errorStyle="stop" errorTitle="Valor inválido" operator="between" showDropDown="false" showErrorMessage="true" showInputMessage="false" sqref="B32:B33" type="whole">
      <formula1>0</formula1>
      <formula2>30</formula2>
    </dataValidation>
    <dataValidation allowBlank="false" error="Digite um percentual entre 0% e 200%." errorStyle="stop" errorTitle="Percentual inválido" operator="between" showDropDown="false" showErrorMessage="true" showInputMessage="false" sqref="B17:B18 B21 B29" type="decimal">
      <formula1>0</formula1>
      <formula2>2</formula2>
    </dataValidation>
    <dataValidation allowBlank="false" error="Saldo de banco de horas entre -744 e 744 horas." errorStyle="stop" errorTitle="Valor inválido" operator="between" showDropDown="false" showErrorMessage="true" showInputMessage="false" sqref="B28" type="decimal">
      <formula1>-744</formula1>
      <formula2>744</formula2>
    </dataValidation>
    <dataValidation allowBlank="false" error="Digite uma data válida (DD/MM/AAAA)." errorStyle="stop" errorTitle="Data inválida" operator="greaterThan" showDropDown="false" showErrorMessage="true" showInputMessage="false" sqref="B8:B9" type="date">
      <formula1>DATE(1980,1,1)</formula1>
      <formula2>0</formula2>
    </dataValidation>
  </dataValidations>
  <printOptions headings="false" gridLines="false" gridLinesSet="true" horizontalCentered="true" verticalCentered="false"/>
  <pageMargins left="0.4" right="0.4" top="0.5" bottom="0.5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E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66.29"/>
    <col collapsed="false" customWidth="true" hidden="false" outlineLevel="0" max="2" min="2" style="1" width="20"/>
    <col collapsed="false" customWidth="true" hidden="false" outlineLevel="0" max="3" min="3" style="1" width="4"/>
    <col collapsed="false" customWidth="true" hidden="false" outlineLevel="0" max="4" min="4" style="1" width="32"/>
    <col collapsed="false" customWidth="true" hidden="false" outlineLevel="0" max="5" min="5" style="1" width="20"/>
  </cols>
  <sheetData>
    <row r="1" customFormat="false" ht="37.5" hidden="false" customHeight="true" outlineLevel="0" collapsed="false">
      <c r="A1" s="2" t="s">
        <v>162</v>
      </c>
      <c r="B1" s="2"/>
      <c r="C1" s="2"/>
      <c r="D1" s="2"/>
      <c r="E1" s="2"/>
    </row>
    <row r="2" customFormat="false" ht="18" hidden="false" customHeight="true" outlineLevel="0" collapsed="false">
      <c r="A2" s="22" t="str">
        <f aca="false">INPUTS!B5&amp;"  |  "&amp;INPUTS!B6&amp;"  |  "&amp;TEXT(INPUTS!B9,"DD/MM/YYYY")</f>
        <v>Funcionário Exemplo  |  Analista  |  31/05/2026</v>
      </c>
      <c r="B2" s="22"/>
      <c r="C2" s="22"/>
      <c r="D2" s="22"/>
      <c r="E2" s="22"/>
    </row>
    <row r="4" customFormat="false" ht="19.5" hidden="false" customHeight="true" outlineLevel="0" collapsed="false">
      <c r="A4" s="23" t="s">
        <v>163</v>
      </c>
      <c r="B4" s="24" t="s">
        <v>164</v>
      </c>
      <c r="C4" s="25" t="s">
        <v>165</v>
      </c>
      <c r="D4" s="25"/>
      <c r="E4" s="25"/>
    </row>
    <row r="5" customFormat="false" ht="30" hidden="false" customHeight="true" outlineLevel="0" collapsed="false">
      <c r="A5" s="26" t="n">
        <f aca="false">MOTOR_CALCULO!B85</f>
        <v>20805.5555555556</v>
      </c>
      <c r="B5" s="27" t="n">
        <f aca="false">MOTOR_CALCULO!B86</f>
        <v>461.7848</v>
      </c>
      <c r="C5" s="28" t="n">
        <f aca="false">MOTOR_CALCULO!B87</f>
        <v>20343.7707555556</v>
      </c>
      <c r="D5" s="28"/>
      <c r="E5" s="28"/>
    </row>
    <row r="6" customFormat="false" ht="7.5" hidden="false" customHeight="true" outlineLevel="0" collapsed="false"/>
    <row r="7" customFormat="false" ht="19.5" hidden="false" customHeight="true" outlineLevel="0" collapsed="false">
      <c r="A7" s="29" t="s">
        <v>166</v>
      </c>
      <c r="B7" s="29"/>
      <c r="C7" s="29"/>
      <c r="D7" s="29"/>
      <c r="E7" s="29"/>
    </row>
    <row r="8" customFormat="false" ht="27.75" hidden="false" customHeight="true" outlineLevel="0" collapsed="false">
      <c r="A8" s="30" t="n">
        <f aca="false">MOTOR_CALCULO!B67</f>
        <v>20317.3333333333</v>
      </c>
      <c r="B8" s="30"/>
      <c r="C8" s="30"/>
      <c r="D8" s="30"/>
      <c r="E8" s="30"/>
    </row>
    <row r="9" customFormat="false" ht="7.5" hidden="false" customHeight="true" outlineLevel="0" collapsed="false"/>
    <row r="10" customFormat="false" ht="18" hidden="false" customHeight="true" outlineLevel="0" collapsed="false">
      <c r="A10" s="4" t="s">
        <v>167</v>
      </c>
      <c r="B10" s="4"/>
      <c r="D10" s="4" t="s">
        <v>168</v>
      </c>
      <c r="E10" s="4"/>
    </row>
    <row r="11" customFormat="false" ht="15.75" hidden="false" customHeight="true" outlineLevel="0" collapsed="false">
      <c r="A11" s="31" t="s">
        <v>169</v>
      </c>
      <c r="B11" s="32" t="n">
        <f aca="false">MOTOR_CALCULO!B50</f>
        <v>3616.66666666667</v>
      </c>
      <c r="D11" s="31" t="s">
        <v>170</v>
      </c>
      <c r="E11" s="32" t="n">
        <f aca="false">MOTOR_CALCULO!B71</f>
        <v>322.5998</v>
      </c>
    </row>
    <row r="12" customFormat="false" ht="15.75" hidden="false" customHeight="true" outlineLevel="0" collapsed="false">
      <c r="A12" s="31" t="s">
        <v>171</v>
      </c>
      <c r="B12" s="32" t="n">
        <f aca="false">MOTOR_CALCULO!B51</f>
        <v>4550</v>
      </c>
      <c r="D12" s="31" t="s">
        <v>172</v>
      </c>
      <c r="E12" s="32" t="n">
        <f aca="false">MOTOR_CALCULO!B73</f>
        <v>133.185</v>
      </c>
    </row>
    <row r="13" customFormat="false" ht="15.75" hidden="false" customHeight="true" outlineLevel="0" collapsed="false">
      <c r="A13" s="31" t="s">
        <v>173</v>
      </c>
      <c r="B13" s="32" t="n">
        <f aca="false">MOTOR_CALCULO!B53</f>
        <v>1750</v>
      </c>
      <c r="D13" s="31" t="s">
        <v>174</v>
      </c>
      <c r="E13" s="32" t="n">
        <f aca="false">MOTOR_CALCULO!B79</f>
        <v>0</v>
      </c>
    </row>
    <row r="14" customFormat="false" ht="15.75" hidden="false" customHeight="true" outlineLevel="0" collapsed="false">
      <c r="A14" s="31" t="s">
        <v>175</v>
      </c>
      <c r="B14" s="32" t="n">
        <f aca="false">MOTOR_CALCULO!B54</f>
        <v>9333.33333333333</v>
      </c>
      <c r="D14" s="31" t="s">
        <v>176</v>
      </c>
      <c r="E14" s="32" t="n">
        <f aca="false">MOTOR_CALCULO!B82</f>
        <v>0</v>
      </c>
    </row>
    <row r="15" customFormat="false" ht="15.75" hidden="false" customHeight="true" outlineLevel="0" collapsed="false">
      <c r="A15" s="31" t="s">
        <v>177</v>
      </c>
      <c r="B15" s="32" t="n">
        <f aca="false">MOTOR_CALCULO!B55</f>
        <v>1555.55555555556</v>
      </c>
      <c r="D15" s="31" t="s">
        <v>178</v>
      </c>
      <c r="E15" s="32" t="n">
        <f aca="false">MOTOR_CALCULO!B52</f>
        <v>0</v>
      </c>
    </row>
    <row r="16" customFormat="false" ht="15.75" hidden="false" customHeight="true" outlineLevel="0" collapsed="false">
      <c r="A16" s="31" t="s">
        <v>179</v>
      </c>
      <c r="B16" s="32" t="n">
        <f aca="false">MAX(0,MOTOR_CALCULO!B57)</f>
        <v>0</v>
      </c>
      <c r="D16" s="31" t="s">
        <v>180</v>
      </c>
      <c r="E16" s="32" t="n">
        <f aca="false">ABS(MIN(0,MOTOR_CALCULO!B57))</f>
        <v>0</v>
      </c>
    </row>
    <row r="17" customFormat="false" ht="15.75" hidden="false" customHeight="true" outlineLevel="0" collapsed="false">
      <c r="A17" s="31" t="s">
        <v>181</v>
      </c>
      <c r="B17" s="32" t="n">
        <f aca="false">MOTOR_CALCULO!B58</f>
        <v>0</v>
      </c>
      <c r="D17" s="31" t="s">
        <v>182</v>
      </c>
      <c r="E17" s="32" t="n">
        <f aca="false">MOTOR_CALCULO!B23</f>
        <v>6</v>
      </c>
    </row>
    <row r="18" customFormat="false" ht="15.75" hidden="false" customHeight="true" outlineLevel="0" collapsed="false">
      <c r="A18" s="31" t="s">
        <v>183</v>
      </c>
      <c r="B18" s="32" t="n">
        <f aca="false">MOTOR_CALCULO!B106</f>
        <v>0</v>
      </c>
      <c r="D18" s="31" t="s">
        <v>184</v>
      </c>
      <c r="E18" s="32" t="n">
        <f aca="false">MOTOR_CALCULO!B24</f>
        <v>0</v>
      </c>
    </row>
    <row r="19" customFormat="false" ht="21.75" hidden="false" customHeight="true" outlineLevel="0" collapsed="false">
      <c r="A19" s="33" t="s">
        <v>185</v>
      </c>
      <c r="B19" s="34" t="n">
        <f aca="false">MOTOR_CALCULO!B85</f>
        <v>20805.5555555556</v>
      </c>
      <c r="D19" s="33" t="s">
        <v>164</v>
      </c>
      <c r="E19" s="34" t="n">
        <f aca="false">MOTOR_CALCULO!B86</f>
        <v>461.7848</v>
      </c>
    </row>
    <row r="20" customFormat="false" ht="7.5" hidden="false" customHeight="true" outlineLevel="0" collapsed="false"/>
    <row r="21" customFormat="false" ht="18" hidden="false" customHeight="true" outlineLevel="0" collapsed="false">
      <c r="A21" s="4" t="s">
        <v>186</v>
      </c>
      <c r="B21" s="4"/>
      <c r="C21" s="4"/>
      <c r="D21" s="4"/>
      <c r="E21" s="4"/>
    </row>
    <row r="22" customFormat="false" ht="15.75" hidden="false" customHeight="true" outlineLevel="0" collapsed="false">
      <c r="A22" s="31" t="s">
        <v>187</v>
      </c>
      <c r="B22" s="32" t="n">
        <f aca="false">MOTOR_CALCULO!B29</f>
        <v>0</v>
      </c>
    </row>
    <row r="23" customFormat="false" ht="15.75" hidden="false" customHeight="true" outlineLevel="0" collapsed="false">
      <c r="A23" s="31" t="s">
        <v>188</v>
      </c>
      <c r="B23" s="32" t="n">
        <f aca="false">MOTOR_CALCULO!B32</f>
        <v>0</v>
      </c>
    </row>
    <row r="24" customFormat="false" ht="7.5" hidden="false" customHeight="true" outlineLevel="0" collapsed="false"/>
    <row r="25" customFormat="false" ht="18" hidden="false" customHeight="true" outlineLevel="0" collapsed="false">
      <c r="A25" s="4" t="s">
        <v>189</v>
      </c>
      <c r="B25" s="4"/>
      <c r="C25" s="4"/>
      <c r="D25" s="4"/>
      <c r="E25" s="4"/>
    </row>
    <row r="26" customFormat="false" ht="15.75" hidden="false" customHeight="true" outlineLevel="0" collapsed="false">
      <c r="A26" s="31" t="s">
        <v>190</v>
      </c>
      <c r="B26" s="32" t="n">
        <f aca="false">MOTOR_CALCULO!B61</f>
        <v>289.333333333333</v>
      </c>
    </row>
    <row r="27" customFormat="false" ht="15.75" hidden="false" customHeight="true" outlineLevel="0" collapsed="false">
      <c r="A27" s="31" t="s">
        <v>191</v>
      </c>
      <c r="B27" s="32" t="n">
        <f aca="false">MOTOR_CALCULO!B62</f>
        <v>364</v>
      </c>
    </row>
    <row r="28" customFormat="false" ht="15.75" hidden="false" customHeight="true" outlineLevel="0" collapsed="false">
      <c r="A28" s="31" t="s">
        <v>192</v>
      </c>
      <c r="B28" s="32" t="n">
        <f aca="false">MOTOR_CALCULO!B63</f>
        <v>140</v>
      </c>
    </row>
    <row r="29" customFormat="false" ht="15.75" hidden="false" customHeight="true" outlineLevel="0" collapsed="false">
      <c r="A29" s="31" t="s">
        <v>193</v>
      </c>
      <c r="B29" s="32" t="n">
        <f aca="false">MOTOR_CALCULO!B64</f>
        <v>793.333333333333</v>
      </c>
    </row>
    <row r="30" customFormat="false" ht="15.75" hidden="false" customHeight="true" outlineLevel="0" collapsed="false">
      <c r="A30" s="31" t="s">
        <v>194</v>
      </c>
      <c r="B30" s="35" t="n">
        <f aca="false">MOTOR_CALCULO!B65</f>
        <v>0.4</v>
      </c>
    </row>
    <row r="31" customFormat="false" ht="15.75" hidden="false" customHeight="true" outlineLevel="0" collapsed="false">
      <c r="A31" s="31" t="s">
        <v>195</v>
      </c>
      <c r="B31" s="32" t="n">
        <f aca="false">MOTOR_CALCULO!B66</f>
        <v>50793.3333333333</v>
      </c>
    </row>
    <row r="32" customFormat="false" ht="15.75" hidden="false" customHeight="true" outlineLevel="0" collapsed="false">
      <c r="A32" s="31" t="s">
        <v>196</v>
      </c>
      <c r="B32" s="32" t="n">
        <f aca="false">MOTOR_CALCULO!B67</f>
        <v>20317.3333333333</v>
      </c>
    </row>
    <row r="33" customFormat="false" ht="7.5" hidden="false" customHeight="true" outlineLevel="0" collapsed="false"/>
    <row r="34" customFormat="false" ht="33.75" hidden="false" customHeight="true" outlineLevel="0" collapsed="false">
      <c r="A34" s="36" t="s">
        <v>197</v>
      </c>
      <c r="B34" s="36"/>
      <c r="C34" s="36"/>
      <c r="D34" s="36"/>
      <c r="E34" s="37" t="n">
        <f aca="false">MOTOR_CALCULO!B87</f>
        <v>20343.7707555556</v>
      </c>
    </row>
    <row r="35" customFormat="false" ht="7.5" hidden="false" customHeight="true" outlineLevel="0" collapsed="false"/>
    <row r="36" customFormat="false" ht="18" hidden="false" customHeight="true" outlineLevel="0" collapsed="false">
      <c r="A36" s="4" t="s">
        <v>198</v>
      </c>
      <c r="B36" s="4"/>
      <c r="C36" s="4"/>
      <c r="D36" s="4"/>
      <c r="E36" s="4"/>
    </row>
    <row r="37" customFormat="false" ht="15" hidden="false" customHeight="true" outlineLevel="0" collapsed="false">
      <c r="A37" s="38" t="s">
        <v>199</v>
      </c>
      <c r="B37" s="39" t="n">
        <f aca="false">MOTOR_CALCULO!B37</f>
        <v>3</v>
      </c>
      <c r="C37" s="39"/>
      <c r="D37" s="39"/>
      <c r="E37" s="39"/>
    </row>
    <row r="38" customFormat="false" ht="15" hidden="false" customHeight="true" outlineLevel="0" collapsed="false">
      <c r="A38" s="40" t="s">
        <v>200</v>
      </c>
      <c r="B38" s="41" t="n">
        <f aca="false">MOTOR_CALCULO!B38</f>
        <v>39</v>
      </c>
      <c r="C38" s="41"/>
      <c r="D38" s="41"/>
      <c r="E38" s="41"/>
    </row>
    <row r="39" customFormat="false" ht="15" hidden="false" customHeight="true" outlineLevel="0" collapsed="false">
      <c r="A39" s="38" t="s">
        <v>201</v>
      </c>
      <c r="B39" s="42" t="n">
        <f aca="false">MOTOR_CALCULO!B39</f>
        <v>46212</v>
      </c>
      <c r="C39" s="42"/>
      <c r="D39" s="42"/>
      <c r="E39" s="42"/>
    </row>
    <row r="40" customFormat="false" ht="15" hidden="false" customHeight="true" outlineLevel="0" collapsed="false">
      <c r="A40" s="40" t="s">
        <v>202</v>
      </c>
      <c r="B40" s="41" t="n">
        <f aca="false">MOTOR_CALCULO!B43</f>
        <v>4</v>
      </c>
      <c r="C40" s="41"/>
      <c r="D40" s="41"/>
      <c r="E40" s="41"/>
    </row>
    <row r="41" customFormat="false" ht="15" hidden="false" customHeight="true" outlineLevel="0" collapsed="false">
      <c r="A41" s="38" t="s">
        <v>203</v>
      </c>
      <c r="B41" s="39" t="n">
        <f aca="false">MOTOR_CALCULO!B47</f>
        <v>6</v>
      </c>
      <c r="C41" s="39"/>
      <c r="D41" s="39"/>
      <c r="E41" s="39"/>
    </row>
    <row r="42" customFormat="false" ht="15" hidden="false" customHeight="true" outlineLevel="0" collapsed="false">
      <c r="A42" s="40" t="s">
        <v>204</v>
      </c>
      <c r="B42" s="43" t="n">
        <f aca="false">MOTOR_CALCULO!B33</f>
        <v>3500</v>
      </c>
      <c r="C42" s="43"/>
      <c r="D42" s="43"/>
      <c r="E42" s="43"/>
    </row>
    <row r="43" customFormat="false" ht="15" hidden="false" customHeight="true" outlineLevel="0" collapsed="false">
      <c r="A43" s="38" t="s">
        <v>205</v>
      </c>
      <c r="B43" s="44" t="n">
        <f aca="false">MOTOR_CALCULO!B56</f>
        <v>15.9090909090909</v>
      </c>
      <c r="C43" s="44"/>
      <c r="D43" s="44"/>
      <c r="E43" s="44"/>
    </row>
    <row r="44" customFormat="false" ht="15" hidden="false" customHeight="true" outlineLevel="0" collapsed="false">
      <c r="A44" s="40" t="s">
        <v>206</v>
      </c>
      <c r="B44" s="43" t="n">
        <v>988.09</v>
      </c>
      <c r="C44" s="43"/>
      <c r="D44" s="43"/>
      <c r="E44" s="43"/>
    </row>
    <row r="45" customFormat="false" ht="15" hidden="false" customHeight="true" outlineLevel="0" collapsed="false">
      <c r="A45" s="18" t="s">
        <v>207</v>
      </c>
    </row>
    <row r="46" customFormat="false" ht="15" hidden="false" customHeight="true" outlineLevel="0" collapsed="false">
      <c r="A46" s="45" t="s">
        <v>208</v>
      </c>
      <c r="B46" s="45" t="s">
        <v>209</v>
      </c>
      <c r="C46" s="45" t="s">
        <v>210</v>
      </c>
      <c r="D46" s="45" t="s">
        <v>211</v>
      </c>
      <c r="E46" s="45" t="s">
        <v>212</v>
      </c>
    </row>
    <row r="47" customFormat="false" ht="24" hidden="false" customHeight="true" outlineLevel="0" collapsed="false">
      <c r="A47" s="46" t="s">
        <v>169</v>
      </c>
      <c r="B47" s="47" t="s">
        <v>213</v>
      </c>
      <c r="C47" s="47" t="s">
        <v>213</v>
      </c>
      <c r="D47" s="47" t="s">
        <v>213</v>
      </c>
      <c r="E47" s="46" t="s">
        <v>214</v>
      </c>
    </row>
    <row r="48" customFormat="false" ht="48" hidden="false" customHeight="true" outlineLevel="0" collapsed="false">
      <c r="A48" s="46" t="s">
        <v>171</v>
      </c>
      <c r="B48" s="47" t="s">
        <v>215</v>
      </c>
      <c r="C48" s="47" t="s">
        <v>215</v>
      </c>
      <c r="D48" s="47" t="s">
        <v>213</v>
      </c>
      <c r="E48" s="46" t="s">
        <v>216</v>
      </c>
    </row>
    <row r="49" customFormat="false" ht="48" hidden="false" customHeight="true" outlineLevel="0" collapsed="false">
      <c r="A49" s="21" t="s">
        <v>173</v>
      </c>
      <c r="B49" s="48" t="s">
        <v>213</v>
      </c>
      <c r="C49" s="48" t="s">
        <v>213</v>
      </c>
      <c r="D49" s="48" t="s">
        <v>213</v>
      </c>
      <c r="E49" s="21" t="s">
        <v>217</v>
      </c>
    </row>
    <row r="50" customFormat="false" ht="36" hidden="false" customHeight="true" outlineLevel="0" collapsed="false">
      <c r="A50" s="46" t="s">
        <v>175</v>
      </c>
      <c r="B50" s="47" t="s">
        <v>215</v>
      </c>
      <c r="C50" s="47" t="s">
        <v>215</v>
      </c>
      <c r="D50" s="47" t="s">
        <v>215</v>
      </c>
      <c r="E50" s="46" t="s">
        <v>218</v>
      </c>
    </row>
    <row r="51" customFormat="false" ht="24" hidden="false" customHeight="true" outlineLevel="0" collapsed="false">
      <c r="A51" s="21" t="s">
        <v>177</v>
      </c>
      <c r="B51" s="48" t="s">
        <v>215</v>
      </c>
      <c r="C51" s="48" t="s">
        <v>215</v>
      </c>
      <c r="D51" s="48" t="s">
        <v>215</v>
      </c>
      <c r="E51" s="21" t="s">
        <v>219</v>
      </c>
    </row>
    <row r="52" customFormat="false" ht="24" hidden="false" customHeight="true" outlineLevel="0" collapsed="false">
      <c r="A52" s="46" t="s">
        <v>220</v>
      </c>
      <c r="B52" s="47" t="s">
        <v>215</v>
      </c>
      <c r="C52" s="47" t="s">
        <v>215</v>
      </c>
      <c r="D52" s="47" t="s">
        <v>221</v>
      </c>
      <c r="E52" s="46" t="s">
        <v>222</v>
      </c>
    </row>
    <row r="53" customFormat="false" ht="24" hidden="false" customHeight="true" outlineLevel="0" collapsed="false">
      <c r="A53" s="21" t="s">
        <v>223</v>
      </c>
      <c r="B53" s="48" t="s">
        <v>213</v>
      </c>
      <c r="C53" s="48" t="s">
        <v>213</v>
      </c>
      <c r="D53" s="48" t="s">
        <v>213</v>
      </c>
      <c r="E53" s="21" t="s">
        <v>224</v>
      </c>
    </row>
    <row r="54" customFormat="false" ht="36" hidden="false" customHeight="true" outlineLevel="0" collapsed="false">
      <c r="A54" s="46" t="s">
        <v>225</v>
      </c>
      <c r="B54" s="47" t="s">
        <v>213</v>
      </c>
      <c r="C54" s="47" t="s">
        <v>213</v>
      </c>
      <c r="D54" s="47" t="s">
        <v>213</v>
      </c>
      <c r="E54" s="46" t="s">
        <v>226</v>
      </c>
    </row>
    <row r="55" customFormat="false" ht="48" hidden="false" customHeight="true" outlineLevel="0" collapsed="false">
      <c r="A55" s="46" t="s">
        <v>227</v>
      </c>
      <c r="B55" s="47" t="s">
        <v>215</v>
      </c>
      <c r="C55" s="47" t="s">
        <v>215</v>
      </c>
      <c r="D55" s="47" t="s">
        <v>215</v>
      </c>
      <c r="E55" s="46" t="s">
        <v>228</v>
      </c>
    </row>
    <row r="56" customFormat="false" ht="24" hidden="false" customHeight="true" outlineLevel="0" collapsed="false">
      <c r="A56" s="3" t="s">
        <v>229</v>
      </c>
      <c r="B56" s="3"/>
      <c r="C56" s="3"/>
      <c r="D56" s="3"/>
      <c r="E56" s="3"/>
    </row>
    <row r="58" customFormat="false" ht="15" hidden="false" customHeight="false" outlineLevel="0" collapsed="false">
      <c r="A58" s="7" t="s">
        <v>230</v>
      </c>
    </row>
    <row r="59" customFormat="false" ht="15" hidden="false" customHeight="false" outlineLevel="0" collapsed="false">
      <c r="A59" s="8" t="s">
        <v>231</v>
      </c>
    </row>
  </sheetData>
  <sheetProtection sheet="true" password="dffa" formatColumns="false" formatRows="false"/>
  <mergeCells count="21">
    <mergeCell ref="A1:E1"/>
    <mergeCell ref="A2:E2"/>
    <mergeCell ref="C4:E4"/>
    <mergeCell ref="C5:E5"/>
    <mergeCell ref="A7:E7"/>
    <mergeCell ref="A8:E8"/>
    <mergeCell ref="A10:B10"/>
    <mergeCell ref="D10:E10"/>
    <mergeCell ref="A21:E21"/>
    <mergeCell ref="A25:E25"/>
    <mergeCell ref="A34:D34"/>
    <mergeCell ref="A36:E36"/>
    <mergeCell ref="B37:E37"/>
    <mergeCell ref="B38:E38"/>
    <mergeCell ref="B39:E39"/>
    <mergeCell ref="B40:E40"/>
    <mergeCell ref="B41:E41"/>
    <mergeCell ref="B42:E42"/>
    <mergeCell ref="B43:E43"/>
    <mergeCell ref="B44:E44"/>
    <mergeCell ref="A56:E56"/>
  </mergeCells>
  <hyperlinks>
    <hyperlink ref="A59" r:id="rId1" display="https://pay.kiwify.com.br/VbaT48T"/>
  </hyperlinks>
  <printOptions headings="false" gridLines="false" gridLinesSet="true" horizontalCentered="true" verticalCentered="false"/>
  <pageMargins left="0.4" right="0.4" top="0.5" bottom="0.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42.29"/>
    <col collapsed="false" customWidth="true" hidden="false" outlineLevel="0" max="2" min="2" style="1" width="18.71"/>
    <col collapsed="false" customWidth="true" hidden="false" outlineLevel="0" max="3" min="3" style="1" width="54.29"/>
  </cols>
  <sheetData>
    <row r="1" customFormat="false" ht="37.5" hidden="false" customHeight="true" outlineLevel="0" collapsed="false">
      <c r="A1" s="2" t="s">
        <v>232</v>
      </c>
      <c r="B1" s="2"/>
      <c r="C1" s="2"/>
    </row>
    <row r="2" customFormat="false" ht="15" hidden="false" customHeight="true" outlineLevel="0" collapsed="false">
      <c r="A2" s="3" t="s">
        <v>233</v>
      </c>
      <c r="B2" s="3"/>
      <c r="C2" s="3"/>
    </row>
    <row r="4" customFormat="false" ht="15" hidden="false" customHeight="true" outlineLevel="0" collapsed="false">
      <c r="A4" s="4" t="s">
        <v>234</v>
      </c>
      <c r="B4" s="4"/>
      <c r="C4" s="4"/>
    </row>
    <row r="5" customFormat="false" ht="15" hidden="false" customHeight="true" outlineLevel="0" collapsed="false">
      <c r="A5" s="9" t="s">
        <v>235</v>
      </c>
      <c r="B5" s="49" t="str">
        <f aca="false">INPUTS!B5</f>
        <v>Funcionário Exemplo</v>
      </c>
    </row>
    <row r="6" customFormat="false" ht="15" hidden="false" customHeight="true" outlineLevel="0" collapsed="false">
      <c r="A6" s="9" t="s">
        <v>236</v>
      </c>
      <c r="B6" s="49" t="str">
        <f aca="false">INPUTS!B6</f>
        <v>Analista</v>
      </c>
    </row>
    <row r="7" customFormat="false" ht="15" hidden="false" customHeight="true" outlineLevel="0" collapsed="false">
      <c r="A7" s="9" t="s">
        <v>237</v>
      </c>
      <c r="B7" s="50" t="n">
        <f aca="false">MOTOR_CALCULO!B4</f>
        <v>3500</v>
      </c>
    </row>
    <row r="8" customFormat="false" ht="15" hidden="false" customHeight="true" outlineLevel="0" collapsed="false">
      <c r="A8" s="9" t="s">
        <v>238</v>
      </c>
      <c r="B8" s="51" t="n">
        <f aca="false">MOTOR_CALCULO!B5</f>
        <v>44986</v>
      </c>
    </row>
    <row r="9" customFormat="false" ht="15" hidden="false" customHeight="true" outlineLevel="0" collapsed="false">
      <c r="A9" s="9" t="s">
        <v>239</v>
      </c>
      <c r="B9" s="51" t="n">
        <f aca="false">MOTOR_CALCULO!B6</f>
        <v>46173</v>
      </c>
    </row>
    <row r="10" customFormat="false" ht="15" hidden="false" customHeight="true" outlineLevel="0" collapsed="false">
      <c r="A10" s="9" t="s">
        <v>103</v>
      </c>
      <c r="B10" s="49" t="str">
        <f aca="false">MOTOR_CALCULO!B7</f>
        <v>Sem justa causa</v>
      </c>
    </row>
    <row r="11" customFormat="false" ht="15" hidden="false" customHeight="true" outlineLevel="0" collapsed="false">
      <c r="A11" s="9" t="s">
        <v>106</v>
      </c>
      <c r="B11" s="49" t="str">
        <f aca="false">MOTOR_CALCULO!B8</f>
        <v>Indenizado</v>
      </c>
    </row>
    <row r="12" customFormat="false" ht="24" hidden="false" customHeight="true" outlineLevel="0" collapsed="false">
      <c r="A12" s="9" t="s">
        <v>240</v>
      </c>
      <c r="B12" s="52" t="n">
        <f aca="false">MOTOR_CALCULO!B38</f>
        <v>39</v>
      </c>
      <c r="C12" s="53" t="str">
        <f aca="false">"30 dias + ("&amp;TEXT(MOTOR_CALCULO!B37,"0")&amp;" anos × 3 dias) = "&amp;TEXT(MOTOR_CALCULO!B38,"0")&amp;" dias. Art. 487 CLT + Lei 12.506/2011."</f>
        <v>30 dias + (3 anos × 3 dias) = 39 dias. Art. 487 CLT + Lei 12.506/2011.</v>
      </c>
    </row>
    <row r="13" customFormat="false" ht="24" hidden="false" customHeight="true" outlineLevel="0" collapsed="false">
      <c r="A13" s="9" t="s">
        <v>201</v>
      </c>
      <c r="B13" s="51" t="n">
        <f aca="false">MOTOR_CALCULO!B39</f>
        <v>46212</v>
      </c>
      <c r="C13" s="53" t="str">
        <f aca="false">"Súmula 371 TST: o aviso indenizado projeta o contrato para fins de 13º e férias proporcionais."</f>
        <v>Súmula 371 TST: o aviso indenizado projeta o contrato para fins de 13º e férias proporcionais.</v>
      </c>
    </row>
    <row r="16" customFormat="false" ht="15" hidden="false" customHeight="true" outlineLevel="0" collapsed="false">
      <c r="A16" s="4" t="s">
        <v>241</v>
      </c>
      <c r="B16" s="4"/>
      <c r="C16" s="4"/>
    </row>
    <row r="17" customFormat="false" ht="15" hidden="false" customHeight="true" outlineLevel="0" collapsed="false">
      <c r="A17" s="9" t="s">
        <v>242</v>
      </c>
      <c r="B17" s="50" t="n">
        <f aca="false">MOTOR_CALCULO!B28</f>
        <v>0</v>
      </c>
      <c r="C17" s="53" t="str">
        <f aca="false">"R$ "&amp;TEXT(MOTOR_CALCULO!B4,"#.##0,00")&amp;" × "&amp;TEXT(MOTOR_CALCULO!B10,"0,0%")&amp;" = R$ "&amp;TEXT(MOTOR_CALCULO!B28,"#.##0,00")&amp;". Art. 193 CLT."</f>
        <v>R$ 3,500.00000 × 30% = R$ .00000. Art. 193 CLT.</v>
      </c>
    </row>
    <row r="18" customFormat="false" ht="15" hidden="false" customHeight="true" outlineLevel="0" collapsed="false">
      <c r="A18" s="9" t="s">
        <v>243</v>
      </c>
      <c r="B18" s="50" t="n">
        <f aca="false">MOTOR_CALCULO!B29</f>
        <v>0</v>
      </c>
      <c r="C18" s="53" t="str">
        <f aca="false">"R$ "&amp;TEXT(MOTOR_CALCULO!B28,"#.##0,00")&amp;" × "&amp;TEXT(MOTOR_CALCULO!B11,"0,0%")&amp;" = R$ "&amp;TEXT(MOTOR_CALCULO!B29,"#.##0,00")</f>
        <v>R$ .00000 × 100% = R$ .00000</v>
      </c>
    </row>
    <row r="19" customFormat="false" ht="15" hidden="false" customHeight="true" outlineLevel="0" collapsed="false">
      <c r="A19" s="9" t="s">
        <v>244</v>
      </c>
      <c r="B19" s="50" t="n">
        <f aca="false">MOTOR_CALCULO!B31</f>
        <v>0</v>
      </c>
      <c r="C19" s="53" t="str">
        <f aca="false">"SM R$ "&amp;TEXT(MOTOR_CALCULO!B13,"#.##0,00")&amp;" × "&amp;TEXT(MOTOR_CALCULO!B30,"0,0%")&amp;" = R$ "&amp;TEXT(MOTOR_CALCULO!B31,"#.##0,00")&amp;". SV 4 STF / Art. 192 CLT."</f>
        <v>SM R$ 1,621.00000 × 00% = R$ .00000. SV 4 STF / Art. 192 CLT.</v>
      </c>
    </row>
    <row r="20" customFormat="false" ht="15" hidden="false" customHeight="true" outlineLevel="0" collapsed="false">
      <c r="A20" s="9" t="s">
        <v>245</v>
      </c>
      <c r="B20" s="50" t="n">
        <f aca="false">MOTOR_CALCULO!B32</f>
        <v>0</v>
      </c>
      <c r="C20" s="53" t="str">
        <f aca="false">"R$ "&amp;TEXT(MOTOR_CALCULO!B31,"#.##0,00")&amp;" × "&amp;TEXT(MOTOR_CALCULO!B14,"0,0%")&amp;" = R$ "&amp;TEXT(MOTOR_CALCULO!B32,"#.##0,00")</f>
        <v>R$ .00000 × 100% = R$ .00000</v>
      </c>
    </row>
    <row r="21" customFormat="false" ht="15" hidden="false" customHeight="true" outlineLevel="0" collapsed="false">
      <c r="A21" s="9" t="s">
        <v>246</v>
      </c>
      <c r="B21" s="50" t="n">
        <f aca="false">MOTOR_CALCULO!B33</f>
        <v>3500</v>
      </c>
      <c r="C21" s="53" t="str">
        <f aca="false">"Sal.+Perig.+Insalub.+HE+Comissões+Ad.Noturno = R$ "&amp;TEXT(MOTOR_CALCULO!B33,"#.##0,00")</f>
        <v>Sal.+Perig.+Insalub.+HE+Comissões+Ad.Noturno = R$ 3,500.00000</v>
      </c>
    </row>
    <row r="23" customFormat="false" ht="15" hidden="false" customHeight="true" outlineLevel="0" collapsed="false">
      <c r="A23" s="4" t="s">
        <v>247</v>
      </c>
      <c r="B23" s="4"/>
      <c r="C23" s="4"/>
    </row>
    <row r="24" customFormat="false" ht="15" hidden="false" customHeight="true" outlineLevel="0" collapsed="false">
      <c r="A24" s="9" t="s">
        <v>169</v>
      </c>
      <c r="B24" s="50" t="n">
        <f aca="false">MOTOR_CALCULO!B50</f>
        <v>3616.66666666667</v>
      </c>
      <c r="C24" s="53" t="str">
        <f aca="false">"(R$ "&amp;TEXT(MOTOR_CALCULO!B33,"#.##0,00")&amp;" ÷ 30) × "&amp;TEXT(MOTOR_CALCULO!B36,"0")&amp;" dias = R$ "&amp;TEXT(MOTOR_CALCULO!B50,"#.##0,00")&amp;". Art. 477 CLT."</f>
        <v>(R$ 3,500.00000 ÷ 30) × 31 dias = R$ 3,616.66667. Art. 477 CLT.</v>
      </c>
    </row>
    <row r="25" customFormat="false" ht="24" hidden="false" customHeight="true" outlineLevel="0" collapsed="false">
      <c r="A25" s="9" t="s">
        <v>171</v>
      </c>
      <c r="B25" s="50" t="n">
        <f aca="false">MOTOR_CALCULO!B51</f>
        <v>4550</v>
      </c>
      <c r="C25" s="53" t="str">
        <f aca="false">IF(MOTOR_CALCULO!B51=0,"Não devido para este tipo de desligamento/aviso.","(R$ "&amp;TEXT(MOTOR_CALCULO!B33,"#.##0,00")&amp;" ÷ 30) × "&amp;TEXT(IFERROR(MOTOR_CALCULO!B51/(MOTOR_CALCULO!B33/30),0),"0,#")&amp;" dias = R$ "&amp;TEXT(MOTOR_CALCULO!B51,"#.##0,00")&amp;". Isento INSS/IRRF; gera FGTS (OJ 195 SDI-1). Consensual: metade (Art. 484-A).")</f>
        <v>(R$ 3,500.00000 ÷ 30) × 39 dias = R$ 4,550.00000. Isento INSS/IRRF; gera FGTS (OJ 195 SDI-1). Consensual: metade (Art. 484-A).</v>
      </c>
    </row>
    <row r="26" customFormat="false" ht="15" hidden="false" customHeight="true" outlineLevel="0" collapsed="false">
      <c r="A26" s="9" t="s">
        <v>173</v>
      </c>
      <c r="B26" s="50" t="n">
        <f aca="false">MOTOR_CALCULO!B53</f>
        <v>1750</v>
      </c>
      <c r="C26" s="53" t="str">
        <f aca="false">"(R$ "&amp;TEXT(MOTOR_CALCULO!B33,"#.##0,00")&amp;" ÷ 12) × "&amp;TEXT(MOTOR_CALCULO!B47,"0")&amp;" avos = R$ "&amp;TEXT(MOTOR_CALCULO!B53,"#.##0,00")&amp;". Lei 4.090/62."</f>
        <v>(R$ 3,500.00000 ÷ 12) × 6 avos = R$ 1,750.00000. Lei 4.090/62.</v>
      </c>
    </row>
    <row r="27" customFormat="false" ht="24" hidden="false" customHeight="true" outlineLevel="0" collapsed="false">
      <c r="A27" s="9" t="s">
        <v>175</v>
      </c>
      <c r="B27" s="50" t="n">
        <f aca="false">MOTOR_CALCULO!B54</f>
        <v>9333.33333333333</v>
      </c>
      <c r="C27" s="53" t="str">
        <f aca="false">TEXT(MOTOR_CALCULO!B20,"0")&amp;" per. × R$ "&amp;TEXT(MOTOR_CALCULO!B33,"#.##0,00")&amp;IF(MOTOR_CALCULO!B26="Sim"," × 2","")&amp;" × 1,333 = R$ "&amp;TEXT(MOTOR_CALCULO!B54,"#.##0,00")&amp;". Art. 137 CLT. Isentas INSS/IRRF."</f>
        <v>1 per. × R$ 3,500.00000 × 2 × 1,333 = R$ 9,333.33333. Art. 137 CLT. Isentas INSS/IRRF.</v>
      </c>
    </row>
    <row r="28" customFormat="false" ht="24" hidden="false" customHeight="true" outlineLevel="0" collapsed="false">
      <c r="A28" s="9" t="s">
        <v>177</v>
      </c>
      <c r="B28" s="50" t="n">
        <f aca="false">MOTOR_CALCULO!B55</f>
        <v>1555.55555555556</v>
      </c>
      <c r="C28" s="53" t="str">
        <f aca="false">"(R$ "&amp;TEXT(MOTOR_CALCULO!B33,"#.##0,00")&amp;" ÷ 12) × "&amp;TEXT(MOTOR_CALCULO!B43,"0")&amp;" avos × 1,333 = R$ "&amp;TEXT(MOTOR_CALCULO!B55,"#.##0,00")&amp;". Súmula 386 STJ."</f>
        <v>(R$ 3,500.00000 ÷ 12) × 4 avos × 1,333 = R$ 1,555.55556. Súmula 386 STJ.</v>
      </c>
    </row>
    <row r="29" customFormat="false" ht="15" hidden="false" customHeight="true" outlineLevel="0" collapsed="false">
      <c r="A29" s="9" t="s">
        <v>156</v>
      </c>
      <c r="B29" s="50" t="n">
        <f aca="false">MOTOR_CALCULO!B57</f>
        <v>0</v>
      </c>
      <c r="C29" s="53" t="str">
        <f aca="false">"R$ "&amp;TEXT(MOTOR_CALCULO!B56,"#.##0,00")&amp;"/h × "&amp;TEXT(MOTOR_CALCULO!B18,"0")&amp;"h × (1+adicional se crédito) = R$ "&amp;TEXT(MOTOR_CALCULO!B57,"#.##0,00")</f>
        <v>R$ 15.90909/h × 0h × (1+adicional se crédito) = R$ .00000</v>
      </c>
    </row>
    <row r="31" customFormat="false" ht="15" hidden="false" customHeight="true" outlineLevel="0" collapsed="false">
      <c r="A31" s="4" t="s">
        <v>248</v>
      </c>
      <c r="B31" s="4"/>
      <c r="C31" s="4"/>
    </row>
    <row r="32" customFormat="false" ht="15" hidden="false" customHeight="true" outlineLevel="0" collapsed="false">
      <c r="A32" s="9" t="s">
        <v>249</v>
      </c>
      <c r="B32" s="50" t="n">
        <f aca="false">MOTOR_CALCULO!B64</f>
        <v>793.333333333333</v>
      </c>
      <c r="C32" s="53" t="str">
        <f aca="false">"8% × (sal.+aviso+13º) = R$ "&amp;TEXT(MOTOR_CALCULO!B64,"#.##0,00")</f>
        <v>8% × (sal.+aviso+13º) = R$ 793.33333</v>
      </c>
    </row>
    <row r="33" customFormat="false" ht="15" hidden="false" customHeight="true" outlineLevel="0" collapsed="false">
      <c r="A33" s="9" t="s">
        <v>250</v>
      </c>
      <c r="B33" s="54" t="n">
        <f aca="false">MOTOR_CALCULO!B65</f>
        <v>0.4</v>
      </c>
    </row>
    <row r="34" customFormat="false" ht="21.75" hidden="false" customHeight="true" outlineLevel="0" collapsed="false">
      <c r="A34" s="9" t="s">
        <v>195</v>
      </c>
      <c r="B34" s="50" t="n">
        <f aca="false">MOTOR_CALCULO!B66</f>
        <v>50793.3333333333</v>
      </c>
      <c r="C34" s="53" t="str">
        <f aca="false">"Saldo R$ "&amp;TEXT(MOTOR_CALCULO!B22,"#.##0,00")&amp;" + FGTS rescisão R$ "&amp;TEXT(MOTOR_CALCULO!B64,"#.##0,00")&amp;" = R$ "&amp;TEXT(MOTOR_CALCULO!B66,"#.##0,00")</f>
        <v>Saldo R$ 50,000.00000 + FGTS rescisão R$ 793.33333 = R$ 50,793.33333</v>
      </c>
    </row>
    <row r="35" customFormat="false" ht="15" hidden="false" customHeight="true" outlineLevel="0" collapsed="false">
      <c r="A35" s="9" t="s">
        <v>154</v>
      </c>
      <c r="B35" s="50" t="n">
        <f aca="false">MOTOR_CALCULO!B67</f>
        <v>20317.3333333333</v>
      </c>
      <c r="C35" s="53" t="str">
        <f aca="false">"R$ "&amp;TEXT(MOTOR_CALCULO!B66,"#.##0,00")&amp;" × "&amp;TEXT(MOTOR_CALCULO!B65,"0%")&amp;" = R$ "&amp;TEXT(MOTOR_CALCULO!B67,"#.##0,00")&amp;". Art. 18 Lei 8.036/90."</f>
        <v>R$ 50,793.33333 × 40% = R$ 20,317.33333. Art. 18 Lei 8.036/90.</v>
      </c>
    </row>
    <row r="37" customFormat="false" ht="15" hidden="false" customHeight="true" outlineLevel="0" collapsed="false">
      <c r="A37" s="4" t="s">
        <v>251</v>
      </c>
      <c r="B37" s="4"/>
      <c r="C37" s="4"/>
    </row>
    <row r="38" customFormat="false" ht="24" hidden="false" customHeight="true" outlineLevel="0" collapsed="false">
      <c r="A38" s="9" t="s">
        <v>252</v>
      </c>
      <c r="B38" s="50" t="n">
        <f aca="false">MOTOR_CALCULO!B71</f>
        <v>322.5998</v>
      </c>
      <c r="C38" s="53" t="str">
        <f aca="false">"Faixas 2026: R$1.621 (7,5%) | R$2.902,84 (9%) | R$4.354,27 (12%) | R$8.475,55 (14%). Port. MPS 13/2026."</f>
        <v>Faixas 2026: R$1.621 (7,5%) | R$2.902,84 (9%) | R$4.354,27 (12%) | R$8.475,55 (14%). Port. MPS 13/2026.</v>
      </c>
    </row>
    <row r="39" customFormat="false" ht="24" hidden="false" customHeight="true" outlineLevel="0" collapsed="false">
      <c r="A39" s="9" t="s">
        <v>253</v>
      </c>
      <c r="B39" s="50" t="n">
        <f aca="false">MOTOR_CALCULO!B73</f>
        <v>133.185</v>
      </c>
      <c r="C39" s="53" t="str">
        <f aca="false">"Mesmo cálculo progressivo aplicado sobre o 13º (apuração independente do salário do mês)."</f>
        <v>Mesmo cálculo progressivo aplicado sobre o 13º (apuração independente do salário do mês).</v>
      </c>
    </row>
    <row r="41" customFormat="false" ht="15" hidden="false" customHeight="true" outlineLevel="0" collapsed="false">
      <c r="A41" s="4" t="s">
        <v>254</v>
      </c>
      <c r="B41" s="4"/>
      <c r="C41" s="4"/>
    </row>
    <row r="42" customFormat="false" ht="15" hidden="false" customHeight="true" outlineLevel="0" collapsed="false">
      <c r="A42" s="9" t="s">
        <v>255</v>
      </c>
      <c r="B42" s="50" t="n">
        <f aca="false">MOTOR_CALCULO!B76</f>
        <v>189.59</v>
      </c>
      <c r="C42" s="53" t="str">
        <f aca="false">"R$ 189,59 × "&amp;TEXT(INPUTS!B33,"0")&amp;" dep. = R$ "&amp;TEXT(MOTOR_CALCULO!B21*MOTOR_CALCULO!B76,"#.##0,00")</f>
        <v>R$ 189,59 × 0 dep. = R$ .00000</v>
      </c>
    </row>
    <row r="43" customFormat="false" ht="15" hidden="false" customHeight="true" outlineLevel="0" collapsed="false">
      <c r="A43" s="9" t="s">
        <v>256</v>
      </c>
      <c r="B43" s="50" t="n">
        <f aca="false">MOTOR_CALCULO!B77</f>
        <v>3294.06686666667</v>
      </c>
    </row>
    <row r="44" customFormat="false" ht="15" hidden="false" customHeight="true" outlineLevel="0" collapsed="false">
      <c r="A44" s="9" t="s">
        <v>257</v>
      </c>
      <c r="B44" s="50" t="n">
        <f aca="false">MOTOR_CALCULO!B79</f>
        <v>0</v>
      </c>
      <c r="C44" s="53" t="str">
        <f aca="false">IF(MOTOR_CALCULO!B50&lt;=5000,"✅ ISENTO — rendimento tributável ≤ R$5.000 (Lei 15.270/2025).",IF(MOTOR_CALCULO!B50&lt;=7350,"⚠️ Redutor: R$978,62 − 13,3145% do rendimento (R$5.000 a R$7.350).","📌 Tabela integral (rendimento &gt; R$7.350)."))</f>
        <v>✅ ISENTO — rendimento tributável ≤ R$5.000 (Lei 15.270/2025).</v>
      </c>
    </row>
    <row r="45" customFormat="false" ht="15" hidden="false" customHeight="true" outlineLevel="0" collapsed="false">
      <c r="A45" s="9" t="s">
        <v>258</v>
      </c>
      <c r="B45" s="50" t="n">
        <f aca="false">MOTOR_CALCULO!B80</f>
        <v>1616.815</v>
      </c>
    </row>
    <row r="46" customFormat="false" ht="15" hidden="false" customHeight="true" outlineLevel="0" collapsed="false">
      <c r="A46" s="9" t="s">
        <v>259</v>
      </c>
      <c r="B46" s="50" t="n">
        <f aca="false">MOTOR_CALCULO!B82</f>
        <v>0</v>
      </c>
    </row>
    <row r="48" customFormat="false" ht="15" hidden="false" customHeight="true" outlineLevel="0" collapsed="false">
      <c r="A48" s="4" t="s">
        <v>260</v>
      </c>
      <c r="B48" s="4"/>
      <c r="C48" s="4"/>
    </row>
    <row r="49" customFormat="false" ht="15" hidden="false" customHeight="true" outlineLevel="0" collapsed="false">
      <c r="A49" s="9" t="s">
        <v>261</v>
      </c>
      <c r="B49" s="50" t="n">
        <f aca="false">MOTOR_CALCULO!B100</f>
        <v>0</v>
      </c>
      <c r="C49" s="53" t="str">
        <f aca="false">IF(MOTOR_CALCULO!B100=0,"Não configurada na CONFIG_CCT.",TEXT(MOTOR_CALCULO!B92,"0")&amp;" mês(es) × R$ "&amp;TEXT(MOTOR_CALCULO!B33,"#.##0,00")&amp;" = R$ "&amp;TEXT(MOTOR_CALCULO!B100,"#.##0,00")&amp;". Súmula 396 TST.")</f>
        <v>Não configurada na CONFIG_CCT.</v>
      </c>
    </row>
    <row r="50" customFormat="false" ht="24" hidden="false" customHeight="true" outlineLevel="0" collapsed="false">
      <c r="A50" s="9" t="s">
        <v>262</v>
      </c>
      <c r="B50" s="50" t="n">
        <f aca="false">MOTOR_CALCULO!B101</f>
        <v>0</v>
      </c>
      <c r="C50" s="53" t="str">
        <f aca="false">"Uma remuneração (salário base) se o pagamento ultrapassar 10 dias do desligamento."</f>
        <v>Uma remuneração (salário base) se o pagamento ultrapassar 10 dias do desligamento.</v>
      </c>
    </row>
    <row r="51" customFormat="false" ht="24" hidden="false" customHeight="true" outlineLevel="0" collapsed="false">
      <c r="A51" s="9" t="s">
        <v>263</v>
      </c>
      <c r="B51" s="50" t="n">
        <f aca="false">MOTOR_CALCULO!B102+MOTOR_CALCULO!B103</f>
        <v>0</v>
      </c>
      <c r="C51" s="53" t="str">
        <f aca="false">"Valores fixos informados na aba CONFIG_CCT, conforme norma coletiva."</f>
        <v>Valores fixos informados na aba CONFIG_CCT, conforme norma coletiva.</v>
      </c>
    </row>
    <row r="52" customFormat="false" ht="15" hidden="false" customHeight="true" outlineLevel="0" collapsed="false">
      <c r="A52" s="9" t="s">
        <v>264</v>
      </c>
      <c r="B52" s="50" t="n">
        <f aca="false">MOTOR_CALCULO!B104+MOTOR_CALCULO!B105</f>
        <v>0</v>
      </c>
      <c r="C52" s="53" t="str">
        <f aca="false">"(valor mensal ÷ 30) × dias de aviso prévio indenizado projetado."</f>
        <v>(valor mensal ÷ 30) × dias de aviso prévio indenizado projetado.</v>
      </c>
    </row>
    <row r="53" customFormat="false" ht="15" hidden="false" customHeight="true" outlineLevel="0" collapsed="false">
      <c r="A53" s="55"/>
    </row>
    <row r="54" customFormat="false" ht="15" hidden="false" customHeight="true" outlineLevel="0" collapsed="false">
      <c r="A54" s="4" t="s">
        <v>265</v>
      </c>
      <c r="B54" s="4"/>
      <c r="C54" s="4"/>
    </row>
    <row r="55" customFormat="false" ht="15" hidden="false" customHeight="true" outlineLevel="0" collapsed="false">
      <c r="A55" s="9" t="s">
        <v>266</v>
      </c>
      <c r="B55" s="50" t="n">
        <f aca="false">MOTOR_CALCULO!B85</f>
        <v>20805.5555555556</v>
      </c>
    </row>
    <row r="56" customFormat="false" ht="15" hidden="false" customHeight="true" outlineLevel="0" collapsed="false">
      <c r="A56" s="9" t="s">
        <v>267</v>
      </c>
      <c r="B56" s="50" t="n">
        <f aca="false">MOTOR_CALCULO!B86</f>
        <v>461.7848</v>
      </c>
    </row>
    <row r="57" customFormat="false" ht="15" hidden="false" customHeight="true" outlineLevel="0" collapsed="false">
      <c r="A57" s="56" t="s">
        <v>268</v>
      </c>
      <c r="B57" s="57" t="n">
        <f aca="false">MOTOR_CALCULO!B87</f>
        <v>20343.7707555556</v>
      </c>
    </row>
    <row r="59" customFormat="false" ht="27.75" hidden="false" customHeight="true" outlineLevel="0" collapsed="false">
      <c r="A59" s="3" t="s">
        <v>269</v>
      </c>
      <c r="B59" s="3"/>
      <c r="C59" s="3"/>
    </row>
  </sheetData>
  <sheetProtection sheet="true" password="dffa" formatColumns="false" formatRows="false"/>
  <mergeCells count="11">
    <mergeCell ref="A1:C1"/>
    <mergeCell ref="A2:C2"/>
    <mergeCell ref="A4:C4"/>
    <mergeCell ref="A16:C16"/>
    <mergeCell ref="A23:C23"/>
    <mergeCell ref="A31:C31"/>
    <mergeCell ref="A37:C37"/>
    <mergeCell ref="A41:C41"/>
    <mergeCell ref="A48:C48"/>
    <mergeCell ref="A54:C54"/>
    <mergeCell ref="A59:C59"/>
  </mergeCells>
  <printOptions headings="false" gridLines="false" gridLinesSet="true" horizontalCentered="true" verticalCentered="false"/>
  <pageMargins left="0.4" right="0.4" top="0.5" bottom="0.5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10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54.43"/>
    <col collapsed="false" customWidth="true" hidden="false" outlineLevel="0" max="2" min="2" style="1" width="18"/>
    <col collapsed="false" customWidth="true" hidden="false" outlineLevel="0" max="3" min="3" style="1" width="10"/>
  </cols>
  <sheetData>
    <row r="1" customFormat="false" ht="24" hidden="false" customHeight="true" outlineLevel="0" collapsed="false">
      <c r="A1" s="2" t="s">
        <v>270</v>
      </c>
      <c r="B1" s="2"/>
      <c r="C1" s="2"/>
    </row>
    <row r="3" customFormat="false" ht="15" hidden="false" customHeight="true" outlineLevel="0" collapsed="false">
      <c r="A3" s="4" t="s">
        <v>271</v>
      </c>
      <c r="B3" s="4"/>
      <c r="C3" s="4"/>
    </row>
    <row r="4" customFormat="false" ht="15" hidden="false" customHeight="true" outlineLevel="0" collapsed="false">
      <c r="A4" s="31" t="s">
        <v>237</v>
      </c>
      <c r="B4" s="32" t="n">
        <f aca="false">INPUTS!B7</f>
        <v>3500</v>
      </c>
    </row>
    <row r="5" customFormat="false" ht="15" hidden="false" customHeight="true" outlineLevel="0" collapsed="false">
      <c r="A5" s="31" t="s">
        <v>272</v>
      </c>
      <c r="B5" s="58" t="n">
        <f aca="false">INPUTS!B8</f>
        <v>44986</v>
      </c>
    </row>
    <row r="6" customFormat="false" ht="15" hidden="false" customHeight="true" outlineLevel="0" collapsed="false">
      <c r="A6" s="31" t="s">
        <v>273</v>
      </c>
      <c r="B6" s="58" t="n">
        <f aca="false">INPUTS!B9</f>
        <v>46173</v>
      </c>
    </row>
    <row r="7" customFormat="false" ht="15" hidden="false" customHeight="true" outlineLevel="0" collapsed="false">
      <c r="A7" s="31" t="s">
        <v>274</v>
      </c>
      <c r="B7" s="59" t="str">
        <f aca="false">INPUTS!B12</f>
        <v>Sem justa causa</v>
      </c>
    </row>
    <row r="8" customFormat="false" ht="15" hidden="false" customHeight="true" outlineLevel="0" collapsed="false">
      <c r="A8" s="31" t="s">
        <v>106</v>
      </c>
      <c r="B8" s="59" t="str">
        <f aca="false">INPUTS!B13</f>
        <v>Indenizado</v>
      </c>
    </row>
    <row r="9" customFormat="false" ht="15" hidden="false" customHeight="true" outlineLevel="0" collapsed="false">
      <c r="A9" s="31" t="s">
        <v>275</v>
      </c>
      <c r="B9" s="59" t="str">
        <f aca="false">INPUTS!B16</f>
        <v>Não</v>
      </c>
    </row>
    <row r="10" customFormat="false" ht="15" hidden="false" customHeight="true" outlineLevel="0" collapsed="false">
      <c r="A10" s="31" t="s">
        <v>276</v>
      </c>
      <c r="B10" s="35" t="n">
        <f aca="false">INPUTS!B17</f>
        <v>0.3</v>
      </c>
    </row>
    <row r="11" customFormat="false" ht="15" hidden="false" customHeight="true" outlineLevel="0" collapsed="false">
      <c r="A11" s="31" t="s">
        <v>277</v>
      </c>
      <c r="B11" s="35" t="n">
        <f aca="false">INPUTS!B18</f>
        <v>1</v>
      </c>
    </row>
    <row r="12" customFormat="false" ht="15" hidden="false" customHeight="true" outlineLevel="0" collapsed="false">
      <c r="A12" s="31" t="s">
        <v>278</v>
      </c>
      <c r="B12" s="59" t="str">
        <f aca="false">INPUTS!B19</f>
        <v>Nenhum</v>
      </c>
    </row>
    <row r="13" customFormat="false" ht="15" hidden="false" customHeight="true" outlineLevel="0" collapsed="false">
      <c r="A13" s="31" t="s">
        <v>279</v>
      </c>
      <c r="B13" s="32" t="n">
        <f aca="false">B91</f>
        <v>1621</v>
      </c>
    </row>
    <row r="14" customFormat="false" ht="15" hidden="false" customHeight="true" outlineLevel="0" collapsed="false">
      <c r="A14" s="31" t="s">
        <v>280</v>
      </c>
      <c r="B14" s="35" t="n">
        <f aca="false">INPUTS!B21</f>
        <v>1</v>
      </c>
    </row>
    <row r="15" customFormat="false" ht="15" hidden="false" customHeight="true" outlineLevel="0" collapsed="false">
      <c r="A15" s="31" t="s">
        <v>281</v>
      </c>
      <c r="B15" s="32" t="n">
        <f aca="false">INPUTS!B24*B90</f>
        <v>0</v>
      </c>
    </row>
    <row r="16" customFormat="false" ht="15" hidden="false" customHeight="true" outlineLevel="0" collapsed="false">
      <c r="A16" s="31" t="s">
        <v>282</v>
      </c>
      <c r="B16" s="32" t="n">
        <f aca="false">INPUTS!B25</f>
        <v>0</v>
      </c>
    </row>
    <row r="17" customFormat="false" ht="15" hidden="false" customHeight="true" outlineLevel="0" collapsed="false">
      <c r="A17" s="60" t="s">
        <v>283</v>
      </c>
      <c r="B17" s="61" t="n">
        <f aca="false">INPUTS!B26*B90</f>
        <v>0</v>
      </c>
    </row>
    <row r="18" customFormat="false" ht="15" hidden="false" customHeight="true" outlineLevel="0" collapsed="false">
      <c r="A18" s="31" t="s">
        <v>284</v>
      </c>
      <c r="B18" s="62" t="n">
        <f aca="false">INPUTS!B28</f>
        <v>0</v>
      </c>
    </row>
    <row r="19" customFormat="false" ht="15" hidden="false" customHeight="true" outlineLevel="0" collapsed="false">
      <c r="A19" s="31" t="s">
        <v>285</v>
      </c>
      <c r="B19" s="35" t="n">
        <f aca="false">IF(CONFIG_CCT!B5="",INPUTS!B29,CONFIG_CCT!B5)</f>
        <v>0.5</v>
      </c>
    </row>
    <row r="20" customFormat="false" ht="15" hidden="false" customHeight="true" outlineLevel="0" collapsed="false">
      <c r="A20" s="31" t="s">
        <v>286</v>
      </c>
      <c r="B20" s="62" t="n">
        <f aca="false">INPUTS!B32</f>
        <v>1</v>
      </c>
    </row>
    <row r="21" customFormat="false" ht="15" hidden="false" customHeight="true" outlineLevel="0" collapsed="false">
      <c r="A21" s="31" t="s">
        <v>287</v>
      </c>
      <c r="B21" s="62" t="n">
        <f aca="false">INPUTS!B33</f>
        <v>0</v>
      </c>
    </row>
    <row r="22" customFormat="false" ht="15" hidden="false" customHeight="true" outlineLevel="0" collapsed="false">
      <c r="A22" s="31" t="s">
        <v>288</v>
      </c>
      <c r="B22" s="32" t="n">
        <f aca="false">INPUTS!B34</f>
        <v>50000</v>
      </c>
    </row>
    <row r="23" customFormat="false" ht="15" hidden="false" customHeight="true" outlineLevel="0" collapsed="false">
      <c r="A23" s="31" t="s">
        <v>289</v>
      </c>
      <c r="B23" s="32" t="n">
        <f aca="false">INPUTS!B35</f>
        <v>6</v>
      </c>
    </row>
    <row r="24" customFormat="false" ht="15" hidden="false" customHeight="true" outlineLevel="0" collapsed="false">
      <c r="A24" s="31" t="s">
        <v>184</v>
      </c>
      <c r="B24" s="32" t="n">
        <f aca="false">INPUTS!B36</f>
        <v>0</v>
      </c>
    </row>
    <row r="25" customFormat="false" ht="15" hidden="false" customHeight="true" outlineLevel="0" collapsed="false">
      <c r="A25" s="31" t="s">
        <v>181</v>
      </c>
      <c r="B25" s="32" t="n">
        <f aca="false">INPUTS!B37</f>
        <v>0</v>
      </c>
    </row>
    <row r="26" customFormat="false" ht="15" hidden="false" customHeight="true" outlineLevel="0" collapsed="false">
      <c r="A26" s="31" t="s">
        <v>149</v>
      </c>
      <c r="B26" s="59" t="str">
        <f aca="false">INPUTS!B38</f>
        <v>Sim</v>
      </c>
    </row>
    <row r="27" customFormat="false" ht="15" hidden="false" customHeight="true" outlineLevel="0" collapsed="false">
      <c r="A27" s="18" t="s">
        <v>290</v>
      </c>
    </row>
    <row r="28" customFormat="false" ht="15" hidden="false" customHeight="true" outlineLevel="0" collapsed="false">
      <c r="A28" s="31" t="s">
        <v>291</v>
      </c>
      <c r="B28" s="32" t="n">
        <f aca="false">IF(B9="Sim",B4*B10,0)</f>
        <v>0</v>
      </c>
    </row>
    <row r="29" customFormat="false" ht="15" hidden="false" customHeight="true" outlineLevel="0" collapsed="false">
      <c r="A29" s="31" t="s">
        <v>292</v>
      </c>
      <c r="B29" s="32" t="n">
        <f aca="false">B28*B11</f>
        <v>0</v>
      </c>
    </row>
    <row r="30" customFormat="false" ht="15" hidden="false" customHeight="true" outlineLevel="0" collapsed="false">
      <c r="A30" s="31" t="s">
        <v>293</v>
      </c>
      <c r="B30" s="35" t="n">
        <f aca="false">IF(B12="Mínimo (10%)",0.1,IF(B12="Médio (20%)",0.2,IF(B12="Máximo (40%)",0.4,0)))</f>
        <v>0</v>
      </c>
    </row>
    <row r="31" customFormat="false" ht="15" hidden="false" customHeight="true" outlineLevel="0" collapsed="false">
      <c r="A31" s="31" t="s">
        <v>294</v>
      </c>
      <c r="B31" s="32" t="n">
        <f aca="false">B30*B13</f>
        <v>0</v>
      </c>
    </row>
    <row r="32" customFormat="false" ht="15" hidden="false" customHeight="true" outlineLevel="0" collapsed="false">
      <c r="A32" s="31" t="s">
        <v>295</v>
      </c>
      <c r="B32" s="32" t="n">
        <f aca="false">B31*B14</f>
        <v>0</v>
      </c>
    </row>
    <row r="33" customFormat="false" ht="15" hidden="false" customHeight="true" outlineLevel="0" collapsed="false">
      <c r="A33" s="31" t="s">
        <v>296</v>
      </c>
      <c r="B33" s="32" t="n">
        <f aca="false">B4+B29+B32+B15+B16+B17</f>
        <v>3500</v>
      </c>
    </row>
    <row r="34" customFormat="false" ht="15" hidden="false" customHeight="true" outlineLevel="0" collapsed="false">
      <c r="A34" s="19"/>
      <c r="B34" s="19"/>
      <c r="C34" s="19"/>
    </row>
    <row r="35" customFormat="false" ht="15" hidden="false" customHeight="true" outlineLevel="0" collapsed="false">
      <c r="A35" s="18" t="s">
        <v>297</v>
      </c>
    </row>
    <row r="36" customFormat="false" ht="15" hidden="false" customHeight="true" outlineLevel="0" collapsed="false">
      <c r="A36" s="31" t="s">
        <v>298</v>
      </c>
      <c r="B36" s="62" t="n">
        <f aca="false">IFERROR(DAY(B6),0)</f>
        <v>31</v>
      </c>
    </row>
    <row r="37" customFormat="false" ht="15" hidden="false" customHeight="true" outlineLevel="0" collapsed="false">
      <c r="A37" s="31" t="s">
        <v>299</v>
      </c>
      <c r="B37" s="62" t="n">
        <f aca="false">IFERROR(DATEDIF(B5,B6,"Y"),0)</f>
        <v>3</v>
      </c>
    </row>
    <row r="38" customFormat="false" ht="15" hidden="false" customHeight="true" outlineLevel="0" collapsed="false">
      <c r="A38" s="31" t="s">
        <v>200</v>
      </c>
      <c r="B38" s="62" t="n">
        <f aca="false">MIN(30+B37*3,90)</f>
        <v>39</v>
      </c>
    </row>
    <row r="39" customFormat="false" ht="15" hidden="false" customHeight="true" outlineLevel="0" collapsed="false">
      <c r="A39" s="31" t="s">
        <v>201</v>
      </c>
      <c r="B39" s="58" t="n">
        <f aca="false">IF(B8="Indenizado",B6+IF(OR(B7="Sem justa causa",B7="Rescisão indireta"),B38,IF(B7="Rescisão consensual",ROUNDDOWN(B38/2,0),0)),B6)</f>
        <v>46212</v>
      </c>
    </row>
    <row r="40" customFormat="false" ht="15" hidden="false" customHeight="true" outlineLevel="0" collapsed="false">
      <c r="A40" s="31" t="s">
        <v>300</v>
      </c>
      <c r="B40" s="62" t="n">
        <f aca="false">IFERROR(DATEDIF(B5,B39,"Y"),0)</f>
        <v>3</v>
      </c>
    </row>
    <row r="41" customFormat="false" ht="15" hidden="false" customHeight="true" outlineLevel="0" collapsed="false">
      <c r="A41" s="31" t="s">
        <v>301</v>
      </c>
      <c r="B41" s="58" t="n">
        <f aca="false">IFERROR(EDATE(B5,B40*12),B5)</f>
        <v>46082</v>
      </c>
    </row>
    <row r="42" customFormat="false" ht="15" hidden="false" customHeight="true" outlineLevel="0" collapsed="false">
      <c r="A42" s="31" t="s">
        <v>302</v>
      </c>
      <c r="B42" s="62" t="n">
        <f aca="false">IFERROR(MAX(0,MIN(12,DATEDIF(B41,B39,"M")+IF(B39-EDATE(B41,DATEDIF(B41,B39,"M"))&gt;=14,1,0))),0)</f>
        <v>4</v>
      </c>
    </row>
    <row r="43" customFormat="false" ht="15" hidden="false" customHeight="true" outlineLevel="0" collapsed="false">
      <c r="A43" s="31" t="s">
        <v>303</v>
      </c>
      <c r="B43" s="62" t="n">
        <f aca="false">IF(B7="Justa causa",0,B42)</f>
        <v>4</v>
      </c>
    </row>
    <row r="44" customFormat="false" ht="15" hidden="false" customHeight="true" outlineLevel="0" collapsed="false">
      <c r="A44" s="31" t="s">
        <v>304</v>
      </c>
      <c r="B44" s="58" t="n">
        <f aca="false">DATE(YEAR(B39),1,1)</f>
        <v>46023</v>
      </c>
    </row>
    <row r="45" customFormat="false" ht="15" hidden="false" customHeight="true" outlineLevel="0" collapsed="false">
      <c r="A45" s="31" t="s">
        <v>305</v>
      </c>
      <c r="B45" s="58" t="n">
        <f aca="false">MAX(B5,B44)</f>
        <v>46023</v>
      </c>
    </row>
    <row r="46" customFormat="false" ht="15" hidden="false" customHeight="true" outlineLevel="0" collapsed="false">
      <c r="A46" s="31" t="s">
        <v>306</v>
      </c>
      <c r="B46" s="62" t="n">
        <f aca="false">IFERROR(MAX(0,MIN(12,MONTH(B39)-MONTH(B45)+IF(DAY(B39)&gt;=15,1,0)-IF(EOMONTH(B45,0)-B45+1&gt;=15,0,1))),0)</f>
        <v>6</v>
      </c>
    </row>
    <row r="47" customFormat="false" ht="15" hidden="false" customHeight="true" outlineLevel="0" collapsed="false">
      <c r="A47" s="31" t="s">
        <v>307</v>
      </c>
      <c r="B47" s="62" t="n">
        <f aca="false">IF(B7="Justa causa",0,B46)</f>
        <v>6</v>
      </c>
    </row>
    <row r="48" customFormat="false" ht="15" hidden="false" customHeight="true" outlineLevel="0" collapsed="false">
      <c r="A48" s="19"/>
      <c r="B48" s="19"/>
      <c r="C48" s="19"/>
    </row>
    <row r="49" customFormat="false" ht="15" hidden="false" customHeight="true" outlineLevel="0" collapsed="false">
      <c r="A49" s="18" t="s">
        <v>308</v>
      </c>
    </row>
    <row r="50" customFormat="false" ht="15" hidden="false" customHeight="true" outlineLevel="0" collapsed="false">
      <c r="A50" s="31" t="s">
        <v>169</v>
      </c>
      <c r="B50" s="32" t="n">
        <f aca="false">(B33/30)*B36</f>
        <v>3616.66666666667</v>
      </c>
    </row>
    <row r="51" customFormat="false" ht="15" hidden="false" customHeight="true" outlineLevel="0" collapsed="false">
      <c r="A51" s="31" t="s">
        <v>171</v>
      </c>
      <c r="B51" s="32" t="n">
        <f aca="false">IF(B8&lt;&gt;"Indenizado",0,IF(OR(B7="Sem justa causa",B7="Rescisão indireta"),(B33/30)*B38,IF(B7="Rescisão consensual",(B33/30)*B38/2,0)))</f>
        <v>4550</v>
      </c>
    </row>
    <row r="52" customFormat="false" ht="15" hidden="false" customHeight="true" outlineLevel="0" collapsed="false">
      <c r="A52" s="31" t="s">
        <v>309</v>
      </c>
      <c r="B52" s="32" t="n">
        <f aca="false">IF(AND(B7="Pedido de demissão",B8&lt;&gt;"Trabalhado"),B33,0)</f>
        <v>0</v>
      </c>
    </row>
    <row r="53" customFormat="false" ht="15" hidden="false" customHeight="true" outlineLevel="0" collapsed="false">
      <c r="A53" s="31" t="s">
        <v>173</v>
      </c>
      <c r="B53" s="32" t="n">
        <f aca="false">(B33/12)*B47</f>
        <v>1750</v>
      </c>
    </row>
    <row r="54" customFormat="false" ht="15" hidden="false" customHeight="true" outlineLevel="0" collapsed="false">
      <c r="A54" s="31" t="s">
        <v>175</v>
      </c>
      <c r="B54" s="32" t="n">
        <f aca="false">B20*B33*(4/3)*IF(B26="Sim",2,1)</f>
        <v>9333.33333333333</v>
      </c>
    </row>
    <row r="55" customFormat="false" ht="15" hidden="false" customHeight="true" outlineLevel="0" collapsed="false">
      <c r="A55" s="31" t="s">
        <v>177</v>
      </c>
      <c r="B55" s="32" t="n">
        <f aca="false">(B33/12)*B43*(4/3)</f>
        <v>1555.55555555556</v>
      </c>
    </row>
    <row r="56" customFormat="false" ht="15" hidden="false" customHeight="true" outlineLevel="0" collapsed="false">
      <c r="A56" s="31" t="s">
        <v>205</v>
      </c>
      <c r="B56" s="32" t="n">
        <f aca="false">B33/220</f>
        <v>15.9090909090909</v>
      </c>
    </row>
    <row r="57" customFormat="false" ht="15" hidden="false" customHeight="true" outlineLevel="0" collapsed="false">
      <c r="A57" s="31" t="s">
        <v>310</v>
      </c>
      <c r="B57" s="32" t="n">
        <f aca="false">IF(B18&gt;=0,B18*B56*(1+B19),B18*B56)</f>
        <v>0</v>
      </c>
    </row>
    <row r="58" customFormat="false" ht="15" hidden="false" customHeight="true" outlineLevel="0" collapsed="false">
      <c r="A58" s="31" t="s">
        <v>181</v>
      </c>
      <c r="B58" s="32" t="n">
        <f aca="false">B25</f>
        <v>0</v>
      </c>
    </row>
    <row r="59" customFormat="false" ht="15" hidden="false" customHeight="true" outlineLevel="0" collapsed="false">
      <c r="A59" s="19"/>
      <c r="B59" s="19"/>
      <c r="C59" s="19"/>
    </row>
    <row r="60" customFormat="false" ht="15" hidden="false" customHeight="true" outlineLevel="0" collapsed="false">
      <c r="A60" s="18" t="s">
        <v>311</v>
      </c>
    </row>
    <row r="61" customFormat="false" ht="15" hidden="false" customHeight="true" outlineLevel="0" collapsed="false">
      <c r="A61" s="31" t="s">
        <v>190</v>
      </c>
      <c r="B61" s="32" t="n">
        <f aca="false">B50*0.08</f>
        <v>289.333333333333</v>
      </c>
    </row>
    <row r="62" customFormat="false" ht="15" hidden="false" customHeight="true" outlineLevel="0" collapsed="false">
      <c r="A62" s="31" t="s">
        <v>191</v>
      </c>
      <c r="B62" s="32" t="n">
        <f aca="false">B51*0.08</f>
        <v>364</v>
      </c>
    </row>
    <row r="63" customFormat="false" ht="15" hidden="false" customHeight="true" outlineLevel="0" collapsed="false">
      <c r="A63" s="31" t="s">
        <v>192</v>
      </c>
      <c r="B63" s="32" t="n">
        <f aca="false">B53*0.08</f>
        <v>140</v>
      </c>
    </row>
    <row r="64" customFormat="false" ht="15" hidden="false" customHeight="true" outlineLevel="0" collapsed="false">
      <c r="A64" s="31" t="s">
        <v>193</v>
      </c>
      <c r="B64" s="32" t="n">
        <f aca="false">B61+B62+B63</f>
        <v>793.333333333333</v>
      </c>
    </row>
    <row r="65" customFormat="false" ht="15" hidden="false" customHeight="true" outlineLevel="0" collapsed="false">
      <c r="A65" s="31" t="s">
        <v>312</v>
      </c>
      <c r="B65" s="35" t="n">
        <f aca="false">IF(OR(B7="Sem justa causa",B7="Rescisão indireta"),0.4,IF(B7="Rescisão consensual",0.2,0))</f>
        <v>0.4</v>
      </c>
    </row>
    <row r="66" customFormat="false" ht="15" hidden="false" customHeight="true" outlineLevel="0" collapsed="false">
      <c r="A66" s="31" t="s">
        <v>313</v>
      </c>
      <c r="B66" s="32" t="n">
        <f aca="false">B22+B64</f>
        <v>50793.3333333333</v>
      </c>
    </row>
    <row r="67" customFormat="false" ht="15" hidden="false" customHeight="true" outlineLevel="0" collapsed="false">
      <c r="A67" s="31" t="s">
        <v>314</v>
      </c>
      <c r="B67" s="32" t="n">
        <f aca="false">B65*B66</f>
        <v>20317.3333333333</v>
      </c>
    </row>
    <row r="68" customFormat="false" ht="15" hidden="false" customHeight="true" outlineLevel="0" collapsed="false">
      <c r="A68" s="19"/>
      <c r="B68" s="19"/>
      <c r="C68" s="19"/>
    </row>
    <row r="69" customFormat="false" ht="15" hidden="false" customHeight="true" outlineLevel="0" collapsed="false">
      <c r="A69" s="18" t="s">
        <v>315</v>
      </c>
    </row>
    <row r="70" customFormat="false" ht="15" hidden="false" customHeight="true" outlineLevel="0" collapsed="false">
      <c r="A70" s="31" t="s">
        <v>316</v>
      </c>
      <c r="B70" s="32" t="n">
        <f aca="false">B50</f>
        <v>3616.66666666667</v>
      </c>
    </row>
    <row r="71" customFormat="false" ht="15" hidden="false" customHeight="true" outlineLevel="0" collapsed="false">
      <c r="A71" s="31" t="s">
        <v>317</v>
      </c>
      <c r="B71" s="32" t="n">
        <f aca="false">MIN(B70,1621)*0.075+MAX(0,MIN(B70,2902.84)-1621)*0.09+MAX(0,MIN(B70,4354.27)-2902.84)*0.12+MAX(0,MIN(B70,8475.55)-4354.27)*0.14</f>
        <v>322.5998</v>
      </c>
    </row>
    <row r="72" customFormat="false" ht="15" hidden="false" customHeight="true" outlineLevel="0" collapsed="false">
      <c r="A72" s="31" t="s">
        <v>318</v>
      </c>
      <c r="B72" s="32" t="n">
        <f aca="false">B53</f>
        <v>1750</v>
      </c>
    </row>
    <row r="73" customFormat="false" ht="15" hidden="false" customHeight="true" outlineLevel="0" collapsed="false">
      <c r="A73" s="31" t="s">
        <v>319</v>
      </c>
      <c r="B73" s="32" t="n">
        <f aca="false">MIN(B72,1621)*0.075+MAX(0,MIN(B72,2902.84)-1621)*0.09+MAX(0,MIN(B72,4354.27)-2902.84)*0.12+MAX(0,MIN(B72,8475.55)-4354.27)*0.14</f>
        <v>133.185</v>
      </c>
    </row>
    <row r="74" customFormat="false" ht="15" hidden="false" customHeight="true" outlineLevel="0" collapsed="false">
      <c r="A74" s="19"/>
      <c r="B74" s="19"/>
      <c r="C74" s="19"/>
    </row>
    <row r="75" customFormat="false" ht="15" hidden="false" customHeight="true" outlineLevel="0" collapsed="false">
      <c r="A75" s="18" t="s">
        <v>320</v>
      </c>
    </row>
    <row r="76" customFormat="false" ht="15" hidden="false" customHeight="true" outlineLevel="0" collapsed="false">
      <c r="A76" s="31" t="s">
        <v>321</v>
      </c>
      <c r="B76" s="32" t="n">
        <v>189.59</v>
      </c>
    </row>
    <row r="77" customFormat="false" ht="15" hidden="false" customHeight="true" outlineLevel="0" collapsed="false">
      <c r="A77" s="31" t="s">
        <v>256</v>
      </c>
      <c r="B77" s="32" t="n">
        <f aca="false">MAX(0,B50-B71-B21*B76)</f>
        <v>3294.06686666667</v>
      </c>
    </row>
    <row r="78" customFormat="false" ht="15" hidden="false" customHeight="true" outlineLevel="0" collapsed="false">
      <c r="A78" s="31" t="s">
        <v>322</v>
      </c>
      <c r="B78" s="32" t="n">
        <f aca="false">IF(B77&lt;=2428.8,0,IF(B77&lt;=2826.65,B77*0.075-182.16,IF(B77&lt;=3751.05,B77*0.15-394.16,IF(B77&lt;=4664.68,B77*0.225-675.49,B77*0.275-908.73))))</f>
        <v>99.95003</v>
      </c>
    </row>
    <row r="79" customFormat="false" ht="15" hidden="false" customHeight="true" outlineLevel="0" collapsed="false">
      <c r="A79" s="31" t="s">
        <v>257</v>
      </c>
      <c r="B79" s="32" t="n">
        <f aca="false">IF(B50&lt;=5000,0,IF(B50&lt;=7350,MAX(0,B78-MAX(0,978.62-0.133145*B50)),B78))</f>
        <v>0</v>
      </c>
    </row>
    <row r="80" customFormat="false" ht="15" hidden="false" customHeight="true" outlineLevel="0" collapsed="false">
      <c r="A80" s="31" t="s">
        <v>258</v>
      </c>
      <c r="B80" s="32" t="n">
        <f aca="false">MAX(0,B53-B73-B21*B76)</f>
        <v>1616.815</v>
      </c>
    </row>
    <row r="81" customFormat="false" ht="15" hidden="false" customHeight="true" outlineLevel="0" collapsed="false">
      <c r="A81" s="31" t="s">
        <v>323</v>
      </c>
      <c r="B81" s="32" t="n">
        <f aca="false">IF(B80&lt;=2428.8,0,IF(B80&lt;=2826.65,B80*0.075-182.16,IF(B80&lt;=3751.05,B80*0.15-394.16,IF(B80&lt;=4664.68,B80*0.225-675.49,B80*0.275-908.73))))</f>
        <v>0</v>
      </c>
    </row>
    <row r="82" customFormat="false" ht="15" hidden="false" customHeight="true" outlineLevel="0" collapsed="false">
      <c r="A82" s="31" t="s">
        <v>259</v>
      </c>
      <c r="B82" s="32" t="n">
        <f aca="false">IF(B53&lt;=5000,0,IF(B53&lt;=7350,MAX(0,B81-MAX(0,978.62-0.133145*B53)),B81))</f>
        <v>0</v>
      </c>
    </row>
    <row r="83" customFormat="false" ht="15" hidden="false" customHeight="true" outlineLevel="0" collapsed="false">
      <c r="A83" s="19"/>
      <c r="B83" s="19"/>
      <c r="C83" s="19"/>
    </row>
    <row r="84" customFormat="false" ht="15" hidden="false" customHeight="true" outlineLevel="0" collapsed="false">
      <c r="A84" s="18" t="s">
        <v>324</v>
      </c>
    </row>
    <row r="85" customFormat="false" ht="15" hidden="false" customHeight="true" outlineLevel="0" collapsed="false">
      <c r="A85" s="31" t="s">
        <v>185</v>
      </c>
      <c r="B85" s="32" t="n">
        <f aca="false">B50+B51+B53+B54+B55+MAX(0,B57)+B58+B106</f>
        <v>20805.5555555556</v>
      </c>
    </row>
    <row r="86" customFormat="false" ht="15" hidden="false" customHeight="true" outlineLevel="0" collapsed="false">
      <c r="A86" s="31" t="s">
        <v>164</v>
      </c>
      <c r="B86" s="32" t="n">
        <f aca="false">B71+B73+B79+B82+B52+ABS(MIN(0,B57))+B23+B24</f>
        <v>461.7848</v>
      </c>
    </row>
    <row r="87" customFormat="false" ht="15" hidden="false" customHeight="true" outlineLevel="0" collapsed="false">
      <c r="A87" s="63" t="s">
        <v>268</v>
      </c>
      <c r="B87" s="64" t="n">
        <f aca="false">B85-B86</f>
        <v>20343.7707555556</v>
      </c>
    </row>
    <row r="89" customFormat="false" ht="15" hidden="false" customHeight="true" outlineLevel="0" collapsed="false">
      <c r="A89" s="19" t="s">
        <v>325</v>
      </c>
      <c r="B89" s="19"/>
      <c r="C89" s="19"/>
    </row>
    <row r="90" customFormat="false" ht="15" hidden="false" customHeight="true" outlineLevel="0" collapsed="false">
      <c r="A90" s="31" t="s">
        <v>326</v>
      </c>
      <c r="B90" s="65" t="n">
        <f aca="false">IF(CONFIG_CCT!B7="Sim",7/6,1)</f>
        <v>1</v>
      </c>
    </row>
    <row r="91" customFormat="false" ht="15" hidden="false" customHeight="true" outlineLevel="0" collapsed="false">
      <c r="A91" s="31" t="s">
        <v>327</v>
      </c>
      <c r="B91" s="32" t="n">
        <f aca="false">IF(AND(CONFIG_CCT!B10="Piso da CCT",N(CONFIG_CCT!B11)&gt;0),CONFIG_CCT!B11,INPUTS!B20)</f>
        <v>1621</v>
      </c>
    </row>
    <row r="92" customFormat="false" ht="15" hidden="false" customHeight="true" outlineLevel="0" collapsed="false">
      <c r="A92" s="31" t="s">
        <v>328</v>
      </c>
      <c r="B92" s="66" t="n">
        <f aca="false">IF(CONFIG_CCT!B14="Sim",IFERROR(N(CONFIG_CCT!B16),0),0)</f>
        <v>0</v>
      </c>
    </row>
    <row r="93" customFormat="false" ht="15" hidden="false" customHeight="true" outlineLevel="0" collapsed="false">
      <c r="A93" s="31" t="s">
        <v>329</v>
      </c>
      <c r="B93" s="66" t="n">
        <f aca="false">IF(CONFIG_CCT!B19="Sim",1,0)</f>
        <v>0</v>
      </c>
    </row>
    <row r="94" customFormat="false" ht="15" hidden="false" customHeight="true" outlineLevel="0" collapsed="false">
      <c r="A94" s="31" t="s">
        <v>330</v>
      </c>
      <c r="B94" s="32" t="n">
        <f aca="false">IF(CONFIG_CCT!B20="",0,CONFIG_CCT!B20)</f>
        <v>0</v>
      </c>
    </row>
    <row r="95" customFormat="false" ht="15" hidden="false" customHeight="true" outlineLevel="0" collapsed="false">
      <c r="A95" s="31" t="s">
        <v>331</v>
      </c>
      <c r="B95" s="32" t="n">
        <f aca="false">IF(CONFIG_CCT!B21="",0,CONFIG_CCT!B21)</f>
        <v>0</v>
      </c>
    </row>
    <row r="96" customFormat="false" ht="15" hidden="false" customHeight="true" outlineLevel="0" collapsed="false">
      <c r="A96" s="31" t="s">
        <v>332</v>
      </c>
      <c r="B96" s="32" t="n">
        <f aca="false">IF(CONFIG_CCT!B24="",0,CONFIG_CCT!B24)</f>
        <v>0</v>
      </c>
    </row>
    <row r="97" customFormat="false" ht="15" hidden="false" customHeight="true" outlineLevel="0" collapsed="false">
      <c r="A97" s="31" t="s">
        <v>333</v>
      </c>
      <c r="B97" s="32" t="n">
        <f aca="false">IF(CONFIG_CCT!B25="",0,CONFIG_CCT!B25)</f>
        <v>0</v>
      </c>
    </row>
    <row r="99" customFormat="false" ht="15" hidden="false" customHeight="true" outlineLevel="0" collapsed="false">
      <c r="A99" s="67" t="s">
        <v>334</v>
      </c>
      <c r="B99" s="67"/>
      <c r="C99" s="67"/>
    </row>
    <row r="100" customFormat="false" ht="15" hidden="false" customHeight="true" outlineLevel="0" collapsed="false">
      <c r="A100" s="31" t="s">
        <v>261</v>
      </c>
      <c r="B100" s="32" t="n">
        <f aca="false">B92*B33</f>
        <v>0</v>
      </c>
    </row>
    <row r="101" customFormat="false" ht="15" hidden="false" customHeight="true" outlineLevel="0" collapsed="false">
      <c r="A101" s="31" t="s">
        <v>262</v>
      </c>
      <c r="B101" s="32" t="n">
        <f aca="false">B93*B4</f>
        <v>0</v>
      </c>
    </row>
    <row r="102" customFormat="false" ht="15" hidden="false" customHeight="true" outlineLevel="0" collapsed="false">
      <c r="A102" s="31" t="s">
        <v>330</v>
      </c>
      <c r="B102" s="32" t="n">
        <f aca="false">B94</f>
        <v>0</v>
      </c>
    </row>
    <row r="103" customFormat="false" ht="15" hidden="false" customHeight="true" outlineLevel="0" collapsed="false">
      <c r="A103" s="31" t="s">
        <v>331</v>
      </c>
      <c r="B103" s="32" t="n">
        <f aca="false">B95</f>
        <v>0</v>
      </c>
    </row>
    <row r="104" customFormat="false" ht="15" hidden="false" customHeight="true" outlineLevel="0" collapsed="false">
      <c r="A104" s="31" t="s">
        <v>335</v>
      </c>
      <c r="B104" s="32" t="n">
        <f aca="false">B96/30*(B39-B6)</f>
        <v>0</v>
      </c>
    </row>
    <row r="105" customFormat="false" ht="15" hidden="false" customHeight="true" outlineLevel="0" collapsed="false">
      <c r="A105" s="31" t="s">
        <v>336</v>
      </c>
      <c r="B105" s="32" t="n">
        <f aca="false">B97/30*(B39-B6)</f>
        <v>0</v>
      </c>
    </row>
    <row r="106" customFormat="false" ht="15" hidden="false" customHeight="true" outlineLevel="0" collapsed="false">
      <c r="A106" s="31" t="s">
        <v>337</v>
      </c>
      <c r="B106" s="32" t="n">
        <f aca="false">SUM(B100:B105)</f>
        <v>0</v>
      </c>
    </row>
  </sheetData>
  <sheetProtection sheet="true" password="dffa" formatColumns="false" formatRows="false"/>
  <mergeCells count="10">
    <mergeCell ref="A1:C1"/>
    <mergeCell ref="A3:C3"/>
    <mergeCell ref="A34:C34"/>
    <mergeCell ref="A48:C48"/>
    <mergeCell ref="A59:C59"/>
    <mergeCell ref="A68:C68"/>
    <mergeCell ref="A74:C74"/>
    <mergeCell ref="A83:C83"/>
    <mergeCell ref="A89:C89"/>
    <mergeCell ref="A99:C99"/>
  </mergeCells>
  <printOptions headings="false" gridLines="false" gridLinesSet="true" horizontalCentered="true" verticalCentered="false"/>
  <pageMargins left="0.4" right="0.4" top="0.5" bottom="0.5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2026-07-04T23:35:29Z</dcterms:created>
  <dc:creator>openpyxl</dc:creator>
  <dc:description/>
  <dc:language>en-US</dc:language>
  <cp:lastModifiedBy>Gustavo Henrique Oliveira da Silva</cp:lastModifiedBy>
  <dcterms:modified xsi:type="dcterms:W3CDTF">2026-07-10T22:20:11Z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